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Padaliniai\FIT\FIVD\FIN\Ketvirtinis reportingas\LE Grupės metiniai ir tarpiniai pranešimai\Tarpiniai\Tarpinis pranešimas 2021 Q1\Fact sheet final\"/>
    </mc:Choice>
  </mc:AlternateContent>
  <xr:revisionPtr revIDLastSave="0" documentId="13_ncr:1_{D08C3FC2-327B-4675-87DB-58DEA4945653}" xr6:coauthVersionLast="45" xr6:coauthVersionMax="46" xr10:uidLastSave="{00000000-0000-0000-0000-000000000000}"/>
  <bookViews>
    <workbookView xWindow="-108" yWindow="-108" windowWidth="23256" windowHeight="12576" tabRatio="825"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Rezultatai ketvirčiais" sheetId="16" r:id="rId10"/>
    <sheet name="Balansas" sheetId="22" r:id="rId11"/>
    <sheet name="Pelno nuostolio ataskaita" sheetId="23" r:id="rId12"/>
    <sheet name="Pinigų srautai" sheetId="24" r:id="rId13"/>
    <sheet name="Turto knyga&gt;&gt;" sheetId="46" r:id="rId14"/>
    <sheet name="Vėjas" sheetId="47" r:id="rId15"/>
    <sheet name="Hidro" sheetId="48" r:id="rId16"/>
    <sheet name="Atliekos ir Biomasė" sheetId="49" r:id="rId17"/>
    <sheet name="Gamtinės dujos" sheetId="50" r:id="rId18"/>
    <sheet name="Istoriniai duomenys&gt;&gt;" sheetId="51" r:id="rId19"/>
    <sheet name="Vėjo duomenys" sheetId="52" r:id="rId20"/>
    <sheet name="Hidro duomenys" sheetId="53" r:id="rId21"/>
    <sheet name="Atliekų ir Biomasės duomenys" sheetId="54" r:id="rId22"/>
    <sheet name="Gamtinių dujų duomenys" sheetId="55" r:id="rId23"/>
    <sheet name="Verslo aplinka" sheetId="56" r:id="rId24"/>
    <sheet name="Pastaba" sheetId="25" r:id="rId25"/>
  </sheets>
  <definedNames>
    <definedName name="_Toc64472300" localSheetId="2">'Finansiniai rodikliai'!$E$147</definedName>
    <definedName name="K">Vėjas!#REF!</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50" l="1"/>
  <c r="F7" i="52" l="1"/>
  <c r="G7" i="52"/>
  <c r="G11" i="52" s="1"/>
  <c r="G17" i="52" s="1"/>
  <c r="H7" i="52"/>
  <c r="H11" i="52" s="1"/>
  <c r="H17" i="52" s="1"/>
  <c r="I7" i="52"/>
  <c r="J7" i="52"/>
  <c r="K7" i="52"/>
  <c r="K11" i="52" s="1"/>
  <c r="K17" i="52" s="1"/>
  <c r="L7" i="52"/>
  <c r="L11" i="52" s="1"/>
  <c r="L17" i="52" s="1"/>
  <c r="M7" i="52"/>
  <c r="N7" i="52"/>
  <c r="O7" i="52"/>
  <c r="P7" i="52"/>
  <c r="P11" i="52" s="1"/>
  <c r="P17" i="52" s="1"/>
  <c r="Q7" i="52"/>
  <c r="R7" i="52"/>
  <c r="D8" i="52"/>
  <c r="D11" i="52" s="1"/>
  <c r="D17" i="52" s="1"/>
  <c r="F8" i="52"/>
  <c r="H7" i="47" s="1"/>
  <c r="I7" i="47" s="1"/>
  <c r="G8" i="52"/>
  <c r="H8" i="52"/>
  <c r="I8" i="52"/>
  <c r="J8" i="52"/>
  <c r="K8" i="52"/>
  <c r="L8" i="52"/>
  <c r="L14" i="52" s="1"/>
  <c r="M8" i="52"/>
  <c r="M11" i="52" s="1"/>
  <c r="M17" i="52" s="1"/>
  <c r="N8" i="52"/>
  <c r="N11" i="52" s="1"/>
  <c r="N17" i="52" s="1"/>
  <c r="O8" i="52"/>
  <c r="P8" i="52"/>
  <c r="Q8" i="52"/>
  <c r="R8" i="52"/>
  <c r="D9" i="52"/>
  <c r="F9" i="52"/>
  <c r="G9" i="52"/>
  <c r="G15" i="52" s="1"/>
  <c r="H9" i="52"/>
  <c r="H15" i="52" s="1"/>
  <c r="I9" i="52"/>
  <c r="J9" i="52"/>
  <c r="K9" i="52"/>
  <c r="K15" i="52" s="1"/>
  <c r="L9" i="52"/>
  <c r="L15" i="52" s="1"/>
  <c r="M9" i="52"/>
  <c r="N9" i="52"/>
  <c r="O9" i="52"/>
  <c r="O11" i="52" s="1"/>
  <c r="O17" i="52" s="1"/>
  <c r="P9" i="52"/>
  <c r="P15" i="52" s="1"/>
  <c r="Q9" i="52"/>
  <c r="R9" i="52"/>
  <c r="D10" i="52"/>
  <c r="F10" i="52"/>
  <c r="H9" i="47" s="1"/>
  <c r="I9" i="47" s="1"/>
  <c r="G10" i="52"/>
  <c r="H10" i="52"/>
  <c r="I10" i="52"/>
  <c r="J10" i="52"/>
  <c r="K10" i="52"/>
  <c r="L10" i="52"/>
  <c r="M10" i="52"/>
  <c r="N10" i="52"/>
  <c r="O10" i="52"/>
  <c r="P10" i="52"/>
  <c r="Q10" i="52"/>
  <c r="R10" i="52"/>
  <c r="B11" i="52"/>
  <c r="C11" i="52"/>
  <c r="I11" i="52"/>
  <c r="J11" i="52"/>
  <c r="Q11" i="52"/>
  <c r="R11" i="52"/>
  <c r="B13" i="52"/>
  <c r="C13" i="52"/>
  <c r="D13" i="52"/>
  <c r="F13" i="52"/>
  <c r="G13" i="52"/>
  <c r="H13" i="52"/>
  <c r="I13" i="52"/>
  <c r="J13" i="52"/>
  <c r="M13" i="52"/>
  <c r="N13" i="52"/>
  <c r="O13" i="52"/>
  <c r="Q13" i="52"/>
  <c r="R13" i="52"/>
  <c r="B14" i="52"/>
  <c r="C14" i="52"/>
  <c r="G14" i="52"/>
  <c r="H14" i="52"/>
  <c r="I14" i="52"/>
  <c r="J14" i="52"/>
  <c r="K14" i="52"/>
  <c r="O14" i="52"/>
  <c r="P14" i="52"/>
  <c r="Q14" i="52"/>
  <c r="R14" i="52"/>
  <c r="B15" i="52"/>
  <c r="C15" i="52"/>
  <c r="D15" i="52"/>
  <c r="F15" i="52"/>
  <c r="I15" i="52"/>
  <c r="J15" i="52"/>
  <c r="M15" i="52"/>
  <c r="N15" i="52"/>
  <c r="Q15" i="52"/>
  <c r="R15" i="52"/>
  <c r="B16" i="52"/>
  <c r="C16" i="52"/>
  <c r="D16" i="52"/>
  <c r="F16" i="52"/>
  <c r="G16" i="52"/>
  <c r="H16" i="52"/>
  <c r="I16" i="52"/>
  <c r="J16" i="52"/>
  <c r="K16" i="52"/>
  <c r="L16" i="52"/>
  <c r="M16" i="52"/>
  <c r="N16" i="52"/>
  <c r="O16" i="52"/>
  <c r="P16" i="52"/>
  <c r="Q16" i="52"/>
  <c r="R16" i="52"/>
  <c r="B17" i="52"/>
  <c r="C17" i="52"/>
  <c r="I17" i="52"/>
  <c r="J17" i="52"/>
  <c r="Q17" i="52"/>
  <c r="R17" i="52"/>
  <c r="B19" i="52"/>
  <c r="C19" i="52"/>
  <c r="B20" i="52"/>
  <c r="C20" i="52"/>
  <c r="B21" i="52"/>
  <c r="C21" i="52"/>
  <c r="D21" i="52"/>
  <c r="B22" i="52"/>
  <c r="C22" i="52"/>
  <c r="D22" i="52"/>
  <c r="E24" i="55"/>
  <c r="D24" i="55"/>
  <c r="C24" i="55"/>
  <c r="B24" i="55"/>
  <c r="E17" i="55"/>
  <c r="D17" i="55"/>
  <c r="C17" i="55"/>
  <c r="B17" i="55"/>
  <c r="C11" i="55"/>
  <c r="H9" i="55"/>
  <c r="G9" i="55"/>
  <c r="K7" i="55"/>
  <c r="K9" i="55" s="1"/>
  <c r="J7" i="55"/>
  <c r="J9" i="55" s="1"/>
  <c r="I7" i="55"/>
  <c r="I9" i="55" s="1"/>
  <c r="H7" i="55"/>
  <c r="G7" i="55"/>
  <c r="J23" i="54"/>
  <c r="I23" i="54"/>
  <c r="H23" i="54"/>
  <c r="G23" i="54"/>
  <c r="F23" i="54"/>
  <c r="B22" i="54"/>
  <c r="B21" i="54"/>
  <c r="B23" i="54" s="1"/>
  <c r="J19" i="54"/>
  <c r="I19" i="54"/>
  <c r="H19" i="54"/>
  <c r="G19" i="54"/>
  <c r="F19" i="54"/>
  <c r="B19" i="54"/>
  <c r="B17" i="54"/>
  <c r="D16" i="54"/>
  <c r="C16" i="54"/>
  <c r="B16" i="54"/>
  <c r="R14" i="54"/>
  <c r="Q14" i="54"/>
  <c r="P14" i="54"/>
  <c r="O14" i="54"/>
  <c r="L14" i="54"/>
  <c r="K14" i="54"/>
  <c r="J14" i="54"/>
  <c r="I14" i="54"/>
  <c r="H14" i="54"/>
  <c r="J13" i="54"/>
  <c r="F13" i="54"/>
  <c r="J12" i="54"/>
  <c r="I12" i="54"/>
  <c r="H12" i="54"/>
  <c r="G12" i="54"/>
  <c r="F12" i="54"/>
  <c r="B12" i="54"/>
  <c r="N11" i="54"/>
  <c r="N14" i="54" s="1"/>
  <c r="M11" i="54"/>
  <c r="M14" i="54" s="1"/>
  <c r="L11" i="54"/>
  <c r="K11" i="54"/>
  <c r="J11" i="54"/>
  <c r="H11" i="54"/>
  <c r="G11" i="54"/>
  <c r="B11" i="54" s="1"/>
  <c r="B14" i="54" s="1"/>
  <c r="F11" i="54"/>
  <c r="F14" i="54" s="1"/>
  <c r="D11" i="54"/>
  <c r="C11" i="54"/>
  <c r="C14" i="54" s="1"/>
  <c r="B9" i="54"/>
  <c r="F8" i="54"/>
  <c r="F9" i="54" s="1"/>
  <c r="J7" i="54"/>
  <c r="J9" i="54" s="1"/>
  <c r="I7" i="54"/>
  <c r="I9" i="54" s="1"/>
  <c r="H7" i="54"/>
  <c r="H9" i="54" s="1"/>
  <c r="F7" i="54"/>
  <c r="E20" i="53"/>
  <c r="D20" i="53"/>
  <c r="C20" i="53"/>
  <c r="E19" i="53"/>
  <c r="D19" i="53"/>
  <c r="C19" i="53"/>
  <c r="S17" i="53"/>
  <c r="R17" i="53"/>
  <c r="Q17" i="53"/>
  <c r="P17" i="53"/>
  <c r="O17" i="53"/>
  <c r="N17" i="53"/>
  <c r="M17" i="53"/>
  <c r="L17" i="53"/>
  <c r="K17" i="53"/>
  <c r="J17" i="53"/>
  <c r="I17" i="53"/>
  <c r="H17" i="53"/>
  <c r="G17" i="53"/>
  <c r="E17" i="53"/>
  <c r="D17" i="53"/>
  <c r="E16" i="53"/>
  <c r="D16" i="53"/>
  <c r="C16" i="53"/>
  <c r="E15" i="53"/>
  <c r="D15" i="53"/>
  <c r="C15" i="53"/>
  <c r="C17" i="53" s="1"/>
  <c r="D12" i="53"/>
  <c r="C12" i="53"/>
  <c r="S11" i="53"/>
  <c r="N11" i="53"/>
  <c r="M11" i="53"/>
  <c r="L11" i="53"/>
  <c r="K11" i="53"/>
  <c r="E11" i="53"/>
  <c r="D11" i="53"/>
  <c r="C11" i="53"/>
  <c r="D9" i="53"/>
  <c r="D13" i="53" s="1"/>
  <c r="C9" i="53"/>
  <c r="C13" i="53" s="1"/>
  <c r="S8" i="53"/>
  <c r="S12" i="53" s="1"/>
  <c r="R8" i="53"/>
  <c r="R12" i="53" s="1"/>
  <c r="Q8" i="53"/>
  <c r="Q12" i="53" s="1"/>
  <c r="P8" i="53"/>
  <c r="P12" i="53" s="1"/>
  <c r="O8" i="53"/>
  <c r="O12" i="53" s="1"/>
  <c r="N8" i="53"/>
  <c r="N12" i="53" s="1"/>
  <c r="M8" i="53"/>
  <c r="M12" i="53" s="1"/>
  <c r="L8" i="53"/>
  <c r="L12" i="53" s="1"/>
  <c r="K8" i="53"/>
  <c r="I7" i="48" s="1"/>
  <c r="J7" i="48" s="1"/>
  <c r="J8" i="53"/>
  <c r="J12" i="53" s="1"/>
  <c r="I8" i="53"/>
  <c r="I12" i="53" s="1"/>
  <c r="H8" i="53"/>
  <c r="H12" i="53" s="1"/>
  <c r="G8" i="53"/>
  <c r="G12" i="53" s="1"/>
  <c r="E8" i="53"/>
  <c r="E9" i="53" s="1"/>
  <c r="E13" i="53" s="1"/>
  <c r="S7" i="53"/>
  <c r="R7" i="53"/>
  <c r="R11" i="53" s="1"/>
  <c r="Q7" i="53"/>
  <c r="Q11" i="53" s="1"/>
  <c r="P7" i="53"/>
  <c r="P11" i="53" s="1"/>
  <c r="O7" i="53"/>
  <c r="O11" i="53" s="1"/>
  <c r="N7" i="53"/>
  <c r="M7" i="53"/>
  <c r="L7" i="53"/>
  <c r="K7" i="53"/>
  <c r="J7" i="53"/>
  <c r="J11" i="53" s="1"/>
  <c r="I7" i="53"/>
  <c r="I11" i="53" s="1"/>
  <c r="H7" i="53"/>
  <c r="H11" i="53" s="1"/>
  <c r="G7" i="53"/>
  <c r="G11" i="53" s="1"/>
  <c r="E7" i="53"/>
  <c r="M8" i="47"/>
  <c r="N8" i="50"/>
  <c r="M8" i="50"/>
  <c r="L8" i="50"/>
  <c r="G8" i="50"/>
  <c r="K6" i="50"/>
  <c r="K8" i="50" s="1"/>
  <c r="J8" i="50"/>
  <c r="H6" i="50"/>
  <c r="H8" i="50" s="1"/>
  <c r="O11" i="49"/>
  <c r="M11" i="49"/>
  <c r="L11" i="49"/>
  <c r="K11" i="49"/>
  <c r="J11" i="49"/>
  <c r="I11" i="49"/>
  <c r="H11" i="49"/>
  <c r="G11" i="49"/>
  <c r="L9" i="49"/>
  <c r="K9" i="49"/>
  <c r="J9" i="49"/>
  <c r="I9" i="49"/>
  <c r="H9" i="49"/>
  <c r="G9" i="49"/>
  <c r="O8" i="48"/>
  <c r="M8" i="48"/>
  <c r="H8" i="48"/>
  <c r="L7" i="48"/>
  <c r="L8" i="48" s="1"/>
  <c r="K7" i="48"/>
  <c r="L6" i="48"/>
  <c r="K6" i="48"/>
  <c r="K8" i="48" s="1"/>
  <c r="H13" i="47"/>
  <c r="I13" i="47" s="1"/>
  <c r="G13" i="47"/>
  <c r="H12" i="47"/>
  <c r="H11" i="47"/>
  <c r="G10" i="47"/>
  <c r="N14" i="52" l="1"/>
  <c r="F14" i="52"/>
  <c r="F11" i="52"/>
  <c r="F17" i="52" s="1"/>
  <c r="M14" i="52"/>
  <c r="D14" i="52"/>
  <c r="H6" i="47"/>
  <c r="I6" i="47" s="1"/>
  <c r="L13" i="52"/>
  <c r="K13" i="52"/>
  <c r="P13" i="52"/>
  <c r="O15" i="52"/>
  <c r="I6" i="50"/>
  <c r="I8" i="50" s="1"/>
  <c r="L9" i="53"/>
  <c r="L13" i="53" s="1"/>
  <c r="M9" i="53"/>
  <c r="M13" i="53" s="1"/>
  <c r="I6" i="48"/>
  <c r="M7" i="47"/>
  <c r="G9" i="53"/>
  <c r="G13" i="53" s="1"/>
  <c r="O9" i="53"/>
  <c r="O13" i="53" s="1"/>
  <c r="M6" i="47"/>
  <c r="E12" i="53"/>
  <c r="C7" i="55"/>
  <c r="C9" i="55" s="1"/>
  <c r="H8" i="47"/>
  <c r="I8" i="47" s="1"/>
  <c r="H9" i="53"/>
  <c r="H13" i="53" s="1"/>
  <c r="P9" i="53"/>
  <c r="P13" i="53" s="1"/>
  <c r="G14" i="54"/>
  <c r="S9" i="53"/>
  <c r="S13" i="53" s="1"/>
  <c r="M9" i="47"/>
  <c r="N9" i="53"/>
  <c r="N13" i="53" s="1"/>
  <c r="I9" i="53"/>
  <c r="I13" i="53" s="1"/>
  <c r="Q9" i="53"/>
  <c r="Q13" i="53" s="1"/>
  <c r="K9" i="53"/>
  <c r="K13" i="53" s="1"/>
  <c r="K12" i="53"/>
  <c r="J9" i="53"/>
  <c r="J13" i="53" s="1"/>
  <c r="R9" i="53"/>
  <c r="R13" i="53" s="1"/>
  <c r="I8" i="48" l="1"/>
  <c r="J6" i="48"/>
  <c r="J8" i="48" s="1"/>
  <c r="H10" i="47"/>
  <c r="I10" i="47" s="1"/>
</calcChain>
</file>

<file path=xl/sharedStrings.xml><?xml version="1.0" encoding="utf-8"?>
<sst xmlns="http://schemas.openxmlformats.org/spreadsheetml/2006/main" count="1496" uniqueCount="656">
  <si>
    <t>aine.riffel@ignitis.lt</t>
  </si>
  <si>
    <t>+370 643 14925</t>
  </si>
  <si>
    <t xml:space="preserve">∆ </t>
  </si>
  <si>
    <t>∆%</t>
  </si>
  <si>
    <t>2020.12.31</t>
  </si>
  <si>
    <t>%</t>
  </si>
  <si>
    <t>CFO</t>
  </si>
  <si>
    <t>CFI</t>
  </si>
  <si>
    <t>CFF</t>
  </si>
  <si>
    <t>SAIDI</t>
  </si>
  <si>
    <t>SAIFI</t>
  </si>
  <si>
    <t>TWh</t>
  </si>
  <si>
    <t>min.</t>
  </si>
  <si>
    <t>MW</t>
  </si>
  <si>
    <t>Ainė Riffel-Grinkevičienė</t>
  </si>
  <si>
    <t>RAB</t>
  </si>
  <si>
    <t>WACC</t>
  </si>
  <si>
    <t>- </t>
  </si>
  <si>
    <t>-**</t>
  </si>
  <si>
    <t>Puslapis</t>
  </si>
  <si>
    <t>Ryšių su investuotojais vadovė</t>
  </si>
  <si>
    <t>Turinys</t>
  </si>
  <si>
    <t>Lietuva</t>
  </si>
  <si>
    <t>∆</t>
  </si>
  <si>
    <t xml:space="preserve"> </t>
  </si>
  <si>
    <t>n/a</t>
  </si>
  <si>
    <t>∆,%</t>
  </si>
  <si>
    <t>   </t>
  </si>
  <si>
    <t>Elektros energijos skirstymas</t>
  </si>
  <si>
    <t>Paskirstyta elektros energijos</t>
  </si>
  <si>
    <t>Tinklų ilgis</t>
  </si>
  <si>
    <t>'000 km</t>
  </si>
  <si>
    <t xml:space="preserve">Technologinės sąnaudos elektros </t>
  </si>
  <si>
    <t>Vartotojų skaičius</t>
  </si>
  <si>
    <t>'000</t>
  </si>
  <si>
    <t>tame tarpe gaminantys vartotojai ir gamintojai</t>
  </si>
  <si>
    <t>Nauji prisijungimai</t>
  </si>
  <si>
    <t>Prisijungimų galios padidinimai</t>
  </si>
  <si>
    <t>Naujų prisijungimų ir galios padidinimų leistinoji naudoti galia</t>
  </si>
  <si>
    <t>Naujų prijungimų trukmė (vidutiniškai)</t>
  </si>
  <si>
    <t>k. d.</t>
  </si>
  <si>
    <t>vnt.</t>
  </si>
  <si>
    <t>Dujų skirstymas</t>
  </si>
  <si>
    <t>Paskirstyta dujų</t>
  </si>
  <si>
    <t>'000 km.</t>
  </si>
  <si>
    <t>Technologinės sąnaudos</t>
  </si>
  <si>
    <t>Nauji prijungimai ir galios padidinimai</t>
  </si>
  <si>
    <t>Tinklų segmento pagrindiniai veiklos rodikliai</t>
  </si>
  <si>
    <t>Pajamos</t>
  </si>
  <si>
    <t>IMT, nematerialus ir naudojimo teise valdomas turtas</t>
  </si>
  <si>
    <t>WACC (svertinis vidurkis)</t>
  </si>
  <si>
    <t>Nusidėvėjimas ir amortizacija (reguliacinis)</t>
  </si>
  <si>
    <t xml:space="preserve">  Elektra (LRAIC)</t>
  </si>
  <si>
    <t>mln. Eur</t>
  </si>
  <si>
    <t>Elektros energijos gamyba</t>
  </si>
  <si>
    <t>Instaliuota galia</t>
  </si>
  <si>
    <t xml:space="preserve">Vėjas </t>
  </si>
  <si>
    <t>Hidroenergetika</t>
  </si>
  <si>
    <t>Atliekų jėgainės</t>
  </si>
  <si>
    <t>Statomi pajėgumai</t>
  </si>
  <si>
    <t>Pagaminta elektros energija:</t>
  </si>
  <si>
    <t>Vėjo jėgainės</t>
  </si>
  <si>
    <t>Hidroelektrinės</t>
  </si>
  <si>
    <t>Vėjo jėgainių prieinamumo koeficientas</t>
  </si>
  <si>
    <t>Vėjo jėgainių apkrovos koeficientas</t>
  </si>
  <si>
    <t>Šiluminės energijos gamyba</t>
  </si>
  <si>
    <t>Statomi projektai</t>
  </si>
  <si>
    <t>Pagaminta šiluminė energija:</t>
  </si>
  <si>
    <t>Atliekos</t>
  </si>
  <si>
    <t>Biomasė</t>
  </si>
  <si>
    <t>Dujos</t>
  </si>
  <si>
    <t>Kruonio HAE</t>
  </si>
  <si>
    <t>Instaliuota elektros energijos galia</t>
  </si>
  <si>
    <t>Pagaminta elektros energijos</t>
  </si>
  <si>
    <t>Iš viso galios rezervų ir izoliuoto elektros sistemos darbo paslaugos</t>
  </si>
  <si>
    <t>Tretinio galios rezervo paslauga</t>
  </si>
  <si>
    <t>Izoliuoto elektros sistemos darbo paslauga</t>
  </si>
  <si>
    <t>KCB</t>
  </si>
  <si>
    <t>WCC</t>
  </si>
  <si>
    <t>7 ir 8 blokai</t>
  </si>
  <si>
    <t>Lanksčiosios gamybos segmento pagrindiniai veiklos rodikliai</t>
  </si>
  <si>
    <t>Iš viso</t>
  </si>
  <si>
    <t>2020 m. III ketv.</t>
  </si>
  <si>
    <t>Pagrindinis EPS</t>
  </si>
  <si>
    <t>Grynasis pelnas</t>
  </si>
  <si>
    <t>Eur</t>
  </si>
  <si>
    <t xml:space="preserve">               &lt;- Atgal į turinį</t>
  </si>
  <si>
    <t>Pagrindiniai veiklos rodikliai</t>
  </si>
  <si>
    <t>Elektros energija</t>
  </si>
  <si>
    <t>Žaliosios gamybos galia</t>
  </si>
  <si>
    <t>Žaliosios gamybos instaliuotoji galia</t>
  </si>
  <si>
    <t>Statomi Žaliosios gamybos pajėgumai</t>
  </si>
  <si>
    <t xml:space="preserve">Paskirstyta elektros energijos </t>
  </si>
  <si>
    <t xml:space="preserve">Žaliosios energijos gamyba </t>
  </si>
  <si>
    <t>Žaliosios gamybos dalis</t>
  </si>
  <si>
    <t>Elektros energijos pardavimai</t>
  </si>
  <si>
    <t>Šiluma</t>
  </si>
  <si>
    <t>Pagaminta šiluminė energija</t>
  </si>
  <si>
    <t>Dujų pardavimai</t>
  </si>
  <si>
    <t>Latvija</t>
  </si>
  <si>
    <t>Kita</t>
  </si>
  <si>
    <t>Iš viso mažmeninės prekybos</t>
  </si>
  <si>
    <t>tame tarpe buitiniams vartotojams</t>
  </si>
  <si>
    <t>tame tarpe verslo klientams</t>
  </si>
  <si>
    <t>Suomija</t>
  </si>
  <si>
    <t>Didmeninė prekyba</t>
  </si>
  <si>
    <t>mln.</t>
  </si>
  <si>
    <t>2020 m.</t>
  </si>
  <si>
    <t>Iš viso turto</t>
  </si>
  <si>
    <t>Nuosavas kapitalas</t>
  </si>
  <si>
    <t>kartai</t>
  </si>
  <si>
    <t>Sprendimai klientams</t>
  </si>
  <si>
    <t>Tinklai</t>
  </si>
  <si>
    <t>Lanksčioji gamyba</t>
  </si>
  <si>
    <t>Žalioji gamyba</t>
  </si>
  <si>
    <t>Kita*</t>
  </si>
  <si>
    <r>
      <t xml:space="preserve">Koreguotas EBITDA </t>
    </r>
    <r>
      <rPr>
        <sz val="10"/>
        <color rgb="FFBCBCBC"/>
        <rFont val="Arial"/>
        <family val="2"/>
        <charset val="186"/>
      </rPr>
      <t>AVR</t>
    </r>
  </si>
  <si>
    <r>
      <t xml:space="preserve">Koreguotas EBIT </t>
    </r>
    <r>
      <rPr>
        <sz val="10"/>
        <color rgb="FFBCBCBC"/>
        <rFont val="Arial"/>
        <family val="2"/>
        <charset val="186"/>
      </rPr>
      <t>AVR</t>
    </r>
  </si>
  <si>
    <r>
      <t xml:space="preserve">Grynoji skola </t>
    </r>
    <r>
      <rPr>
        <sz val="10"/>
        <color rgb="FFBCBCBC"/>
        <rFont val="Arial"/>
        <family val="2"/>
        <charset val="186"/>
      </rPr>
      <t>AVR</t>
    </r>
  </si>
  <si>
    <r>
      <t xml:space="preserve">Investicijos </t>
    </r>
    <r>
      <rPr>
        <sz val="10"/>
        <color rgb="FFBCBCBC"/>
        <rFont val="Arial"/>
        <family val="2"/>
        <charset val="186"/>
      </rPr>
      <t>AVR</t>
    </r>
  </si>
  <si>
    <r>
      <t xml:space="preserve">Koreguoto EBITDA marža, % </t>
    </r>
    <r>
      <rPr>
        <sz val="10"/>
        <color rgb="FFBCBCBC"/>
        <rFont val="Arial"/>
        <family val="2"/>
        <charset val="186"/>
      </rPr>
      <t>AVR</t>
    </r>
  </si>
  <si>
    <t>&lt;- Eiti į puslapį</t>
  </si>
  <si>
    <t>Pagrindiniai finansiniai rodikliai</t>
  </si>
  <si>
    <t>Susijusios su elektros energija</t>
  </si>
  <si>
    <t>Susijusios su dujomis</t>
  </si>
  <si>
    <t>Elektros, dujų ir kitų paslaugų pirkimai</t>
  </si>
  <si>
    <t>Elektros ir susijusių paslaugų pirkimai</t>
  </si>
  <si>
    <t>Darbo užmokesčio ir susijusios sąnaudos</t>
  </si>
  <si>
    <t>Remontų ir priežiūros sąnaudos</t>
  </si>
  <si>
    <t>Nusidėvėjimas ir amortizacija</t>
  </si>
  <si>
    <t>Išvestinės finansinės priemonės</t>
  </si>
  <si>
    <t>Ilgalaikio materialaus turto vertės sumažėjimo sąnaudos ir nurašymai</t>
  </si>
  <si>
    <t>Ilgalaikių ir trumpalaikių gautinų sumų, atsargų bei kitų sumų nurašymai ir vertės sumažėjimai</t>
  </si>
  <si>
    <t>Aplinkos taršos leidimų perkainojimas</t>
  </si>
  <si>
    <t>Iš viso sąnaudų</t>
  </si>
  <si>
    <t>Reguliuojama </t>
  </si>
  <si>
    <t>Pagal ilgalaikius kontraktus</t>
  </si>
  <si>
    <t>Laikini reguliaciniai skirtumai (1)</t>
  </si>
  <si>
    <t>Laikini išvestinių priemonių tikrosios vertės pokyčiai (2)</t>
  </si>
  <si>
    <t>Naujų vartotojų prijungimų ir galios didinimų piniginis poveikis (3)</t>
  </si>
  <si>
    <t>Kita (4)</t>
  </si>
  <si>
    <t>Iš viso EBITDA koregavimų</t>
  </si>
  <si>
    <t>Korekcijos</t>
  </si>
  <si>
    <t>Apyvartinių taršos leidimų perkainojimas</t>
  </si>
  <si>
    <t>Ilgalaikių ir trumpalaikių gautinų sumų, atsargų bei kiti nurašymai ir vertės sumažėjimai</t>
  </si>
  <si>
    <t>Iš viso EBIT koregavimų</t>
  </si>
  <si>
    <t>Koregavimų įtaka pelno mokesčiui</t>
  </si>
  <si>
    <t>Iš viso grynojo pelno koregavimų</t>
  </si>
  <si>
    <t>Kitos*</t>
  </si>
  <si>
    <t>Pomeranijos VP</t>
  </si>
  <si>
    <t>Kauno KJ</t>
  </si>
  <si>
    <t>Vilniaus KJ</t>
  </si>
  <si>
    <t>Elektros tinklo plėtra</t>
  </si>
  <si>
    <t>Elektros tinklo techninė priežiūra</t>
  </si>
  <si>
    <t>Dujų tinklo plėtra</t>
  </si>
  <si>
    <t>Dujų tinklo priežiūra</t>
  </si>
  <si>
    <t>Dotacijos</t>
  </si>
  <si>
    <t>Investicijos (išskyrus dotacijas ir investicijas, dengiamos iš investicijų naudą gaunančių vartotojų)</t>
  </si>
  <si>
    <t>Ilgalaikis turtas</t>
  </si>
  <si>
    <t>Trumpalaikis turtas</t>
  </si>
  <si>
    <t>TURTO IŠ VISO</t>
  </si>
  <si>
    <t>Įsipareigojimų iš viso</t>
  </si>
  <si>
    <t>Ilgalaikiai įsipareigojimai</t>
  </si>
  <si>
    <t>Trumpalaikiai įsipareigojimai</t>
  </si>
  <si>
    <t>NUOSAVO KAPITALO IR ĮSIPAREIGOJIMŲ IŠ VISO</t>
  </si>
  <si>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</si>
  <si>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</si>
  <si>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</si>
  <si>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</si>
  <si>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</si>
  <si>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</si>
  <si>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</si>
  <si>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</si>
  <si>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t>Bankai (kredito linijos)</t>
  </si>
  <si>
    <t>Pinigai ir jų ekvivalentai bei lėšos sąlyginio deponavimo sąskaitoje</t>
  </si>
  <si>
    <t>Pinigai ir pinigų ekvivalentai</t>
  </si>
  <si>
    <t>Lėšos sąlyginio deponavimo sąskaitoje</t>
  </si>
  <si>
    <t>„EPSO-G“ gautina suma</t>
  </si>
  <si>
    <t>Grynoji skola, be „EPSO-G“ sumos</t>
  </si>
  <si>
    <t>Pinigų ir jų ekvivalentų likutis laikotarpio prad.</t>
  </si>
  <si>
    <t>Pinigų ir jų ekvivalentų padidėjimas (sumažėjimas)</t>
  </si>
  <si>
    <t>Pinigai ir pinigų ekvivalentai laikotarpio pab.</t>
  </si>
  <si>
    <t>FFO, mln. Eur</t>
  </si>
  <si>
    <t>Gautos palūkanos</t>
  </si>
  <si>
    <t>Sumokėtos palūkanos</t>
  </si>
  <si>
    <t>Sumokėtas pelno mokestis</t>
  </si>
  <si>
    <t>FCF, mln. Eur</t>
  </si>
  <si>
    <t>Investicijos</t>
  </si>
  <si>
    <t>Gautos dotacijos</t>
  </si>
  <si>
    <t>Naujų vartotojų prijungimų ir galios didinimų piniginis poveikis</t>
  </si>
  <si>
    <t>Įplaukos iš ilgalaikio materialiojo ir nematerialiojo turto perleidimo</t>
  </si>
  <si>
    <t>Apyvartinio kapitalo pasikeitimai</t>
  </si>
  <si>
    <t>FCF AVR</t>
  </si>
  <si>
    <t>Kitos sąnaudos</t>
  </si>
  <si>
    <t>Nusidėvėjimas ir amortizacija  </t>
  </si>
  <si>
    <t>Ilgalaikio materialiojo ir nematerialiojo turto nurašymai, perkainojimas ir vertės sumažėjimo nuostoliai</t>
  </si>
  <si>
    <t>Finansinė veikla</t>
  </si>
  <si>
    <t>Pelno mokesčio pajamos (sąnaudos)</t>
  </si>
  <si>
    <t>Koreguoti</t>
  </si>
  <si>
    <t>Ataskaitiniai</t>
  </si>
  <si>
    <t>Verslo rezultatas</t>
  </si>
  <si>
    <t>Koregavimas</t>
  </si>
  <si>
    <t>TFAS</t>
  </si>
  <si>
    <t>Koreguotas ROE (12 mėn.) AVR</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</si>
  <si>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</si>
  <si>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</si>
  <si>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</si>
  <si>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</si>
  <si>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ROE (12 mėn.) </t>
    </r>
    <r>
      <rPr>
        <sz val="10"/>
        <color rgb="FFBCBCBC"/>
        <rFont val="Arial"/>
        <family val="2"/>
        <charset val="186"/>
      </rPr>
      <t>AVR</t>
    </r>
  </si>
  <si>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</si>
  <si>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</si>
  <si>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Grynasis apyvartinis kapitalas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</si>
  <si>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</si>
  <si>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</si>
  <si>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EBITDA </t>
    </r>
    <r>
      <rPr>
        <sz val="10"/>
        <color theme="0" tint="-0.34998626667073579"/>
        <rFont val="Arial"/>
        <family val="2"/>
        <charset val="186"/>
      </rPr>
      <t>AVR</t>
    </r>
  </si>
  <si>
    <r>
      <t xml:space="preserve">EBIT </t>
    </r>
    <r>
      <rPr>
        <sz val="10"/>
        <color theme="0" tint="-0.34998626667073579"/>
        <rFont val="Arial"/>
        <family val="2"/>
        <charset val="186"/>
      </rPr>
      <t>AVR</t>
    </r>
  </si>
  <si>
    <r>
      <t>EBITDA</t>
    </r>
    <r>
      <rPr>
        <sz val="10"/>
        <color theme="0" tint="-0.34998626667073579"/>
        <rFont val="Arial"/>
        <family val="2"/>
        <charset val="186"/>
      </rPr>
      <t xml:space="preserve"> AVR</t>
    </r>
  </si>
  <si>
    <t xml:space="preserve">  Elektra (istoriniais kaštais)</t>
  </si>
  <si>
    <r>
      <t xml:space="preserve">Koreguotas EBITDA </t>
    </r>
    <r>
      <rPr>
        <sz val="10"/>
        <color theme="0" tint="-0.34998626667073579"/>
        <rFont val="Arial"/>
        <family val="2"/>
        <charset val="186"/>
      </rPr>
      <t>AVR</t>
    </r>
  </si>
  <si>
    <r>
      <t xml:space="preserve">Koreguoto EBITDA marža </t>
    </r>
    <r>
      <rPr>
        <sz val="10"/>
        <color theme="0" tint="-0.34998626667073579"/>
        <rFont val="Arial"/>
        <family val="2"/>
        <charset val="186"/>
      </rPr>
      <t>AVR</t>
    </r>
  </si>
  <si>
    <r>
      <t>Koreguotas EBIT</t>
    </r>
    <r>
      <rPr>
        <sz val="10"/>
        <color theme="0" tint="-0.34998626667073579"/>
        <rFont val="Arial"/>
        <family val="2"/>
        <charset val="186"/>
      </rPr>
      <t xml:space="preserve"> AVR</t>
    </r>
  </si>
  <si>
    <r>
      <t xml:space="preserve">Koreguotas grynasis pelnas </t>
    </r>
    <r>
      <rPr>
        <sz val="10"/>
        <color theme="0" tint="-0.34998626667073579"/>
        <rFont val="Arial"/>
        <family val="2"/>
        <charset val="186"/>
      </rPr>
      <t>AVR</t>
    </r>
  </si>
  <si>
    <t>WACC (vidutinė svertinė kapitalo kaina)</t>
  </si>
  <si>
    <t xml:space="preserve">  Dujos (istoriniais kaštais)</t>
  </si>
  <si>
    <t>Viso</t>
  </si>
  <si>
    <t>RAB (reguliuojamo turto bazė)</t>
  </si>
  <si>
    <t>Vartotojų dengiamos su naujų vartotojų prijungimu ir galios didinimu bei infrastruktūros įrangos perkėlimu susijusios pajamos</t>
  </si>
  <si>
    <r>
      <t xml:space="preserve">EBITDA </t>
    </r>
    <r>
      <rPr>
        <sz val="10"/>
        <color rgb="FFBCBCBC"/>
        <rFont val="Arial"/>
        <family val="2"/>
        <charset val="186"/>
      </rPr>
      <t>AVR</t>
    </r>
  </si>
  <si>
    <r>
      <t xml:space="preserve">EBIT </t>
    </r>
    <r>
      <rPr>
        <sz val="10"/>
        <color rgb="FFBCBCBC"/>
        <rFont val="Arial"/>
        <family val="2"/>
        <charset val="186"/>
      </rPr>
      <t>AVR</t>
    </r>
  </si>
  <si>
    <r>
      <t xml:space="preserve">FCF  </t>
    </r>
    <r>
      <rPr>
        <sz val="10"/>
        <color rgb="FFBCBCBC"/>
        <rFont val="Arial"/>
        <family val="2"/>
        <charset val="186"/>
      </rPr>
      <t>AVR</t>
    </r>
  </si>
  <si>
    <r>
      <t xml:space="preserve">OPEX </t>
    </r>
    <r>
      <rPr>
        <sz val="10"/>
        <color theme="0" tint="-0.34998626667073579"/>
        <rFont val="Arial"/>
        <family val="2"/>
        <charset val="186"/>
      </rPr>
      <t>AVR</t>
    </r>
  </si>
  <si>
    <r>
      <t>Koreguotas EBITDA</t>
    </r>
    <r>
      <rPr>
        <sz val="10"/>
        <color theme="0" tint="-0.34998626667073579"/>
        <rFont val="Arial"/>
        <family val="2"/>
        <charset val="186"/>
      </rPr>
      <t xml:space="preserve"> AVR</t>
    </r>
  </si>
  <si>
    <r>
      <t>Investicijos</t>
    </r>
    <r>
      <rPr>
        <sz val="10"/>
        <color theme="0" tint="-0.34998626667073579"/>
        <rFont val="Arial"/>
        <family val="2"/>
        <charset val="186"/>
      </rPr>
      <t xml:space="preserve"> AVR</t>
    </r>
  </si>
  <si>
    <r>
      <t xml:space="preserve">Finansinės skolos  </t>
    </r>
    <r>
      <rPr>
        <sz val="10"/>
        <color theme="0" tint="-0.34998626667073579"/>
        <rFont val="Arial"/>
        <family val="2"/>
        <charset val="186"/>
      </rPr>
      <t>AVR</t>
    </r>
  </si>
  <si>
    <r>
      <t xml:space="preserve">Grynoji skola </t>
    </r>
    <r>
      <rPr>
        <sz val="10"/>
        <color theme="0" tint="-0.34998626667073579"/>
        <rFont val="Arial"/>
        <family val="2"/>
        <charset val="186"/>
      </rPr>
      <t>AVR</t>
    </r>
  </si>
  <si>
    <r>
      <t xml:space="preserve">FFO </t>
    </r>
    <r>
      <rPr>
        <sz val="10"/>
        <color theme="0" tint="-0.34998626667073579"/>
        <rFont val="Arial"/>
        <family val="2"/>
        <charset val="186"/>
      </rPr>
      <t>AVR</t>
    </r>
  </si>
  <si>
    <r>
      <t>FCF</t>
    </r>
    <r>
      <rPr>
        <sz val="10"/>
        <color theme="0" tint="-0.34998626667073579"/>
        <rFont val="Arial"/>
        <family val="2"/>
        <charset val="186"/>
      </rPr>
      <t xml:space="preserve"> AVR</t>
    </r>
  </si>
  <si>
    <r>
      <t>FFO</t>
    </r>
    <r>
      <rPr>
        <sz val="10"/>
        <color theme="0" tint="-0.34998626667073579"/>
        <rFont val="Arial"/>
        <family val="2"/>
        <charset val="186"/>
      </rPr>
      <t xml:space="preserve"> AVR</t>
    </r>
  </si>
  <si>
    <t>2020 m. IV ketv.</t>
  </si>
  <si>
    <t>2020.m. III ketv.</t>
  </si>
  <si>
    <t>2020.m. II ketv.</t>
  </si>
  <si>
    <t>2020 m. I ketv.</t>
  </si>
  <si>
    <t>2019 m. IV ketv.</t>
  </si>
  <si>
    <t>2019 m. III ketv.</t>
  </si>
  <si>
    <t>2019 m. II ketv.</t>
  </si>
  <si>
    <t>2019 m. I ketv.</t>
  </si>
  <si>
    <t>1. Finansiniai rodikliai</t>
  </si>
  <si>
    <t>2. Suvedimai</t>
  </si>
  <si>
    <t>3. Veiklos rodikliai</t>
  </si>
  <si>
    <t>4. Tinklai</t>
  </si>
  <si>
    <t>Žaliosios gamybos segmento pagrindiniai veiklos rodikliai</t>
  </si>
  <si>
    <t>Sprendimų klientams segmento pagrindiniai veiklos rodikliai</t>
  </si>
  <si>
    <t>5. Žalioji gamyba</t>
  </si>
  <si>
    <t>7. Sprendimai klientams</t>
  </si>
  <si>
    <t>8. Rezultatai ketvirčiais</t>
  </si>
  <si>
    <t>9. Balansas</t>
  </si>
  <si>
    <t>10. Pelno nuostolio ataskaita</t>
  </si>
  <si>
    <t>11. Pinigų srautai</t>
  </si>
  <si>
    <t>Nuorodos:</t>
  </si>
  <si>
    <t>Metinis pranešimas</t>
  </si>
  <si>
    <t>Alternatyvūs veiklos rodikliai</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</si>
  <si>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</si>
  <si>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</si>
  <si>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</si>
  <si>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</si>
  <si>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</si>
  <si>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</si>
  <si>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</si>
  <si>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</si>
  <si>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</si>
  <si>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</si>
  <si>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Iš viso ilgalaikio turto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</si>
  <si>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</si>
  <si>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</si>
  <si>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</si>
  <si>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</si>
  <si>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</si>
  <si>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</si>
  <si>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</si>
  <si>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Iš viso trumpalaikio turto</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</si>
  <si>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</si>
  <si>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</si>
  <si>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</si>
  <si>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</si>
  <si>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</si>
  <si>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</si>
  <si>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</si>
  <si>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</si>
  <si>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</si>
  <si>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</si>
  <si>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</si>
  <si>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</si>
  <si>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</si>
  <si>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</si>
  <si>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</si>
  <si>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</si>
  <si>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Nuomos įsipareigojimai</t>
  </si>
  <si>
    <t>Prekybos mokėtinos sumos</t>
  </si>
  <si>
    <t>Gauti išankstiniai apmokėjimai</t>
  </si>
  <si>
    <t>Mokėtinas pelno mokestis</t>
  </si>
  <si>
    <t>Kitos trumpalaikės mokėtinos sumos ir įsipareigojimai</t>
  </si>
  <si>
    <t>Iš viso trumpalaikių įsipareigojimų</t>
  </si>
  <si>
    <t>Iš viso įsipareigojimų</t>
  </si>
  <si>
    <t>2020 m. gruodžio 31 d.</t>
  </si>
  <si>
    <t>Pajamos pagal sutartis su klientais</t>
  </si>
  <si>
    <t>Kitos pajamos</t>
  </si>
  <si>
    <t>Pajamos ir kitos pajamos, iš viso</t>
  </si>
  <si>
    <t>Remonto ir techninės priežiūros sąnaudos</t>
  </si>
  <si>
    <t>Finansinės pajamos</t>
  </si>
  <si>
    <t>Finansinės sąnaudos</t>
  </si>
  <si>
    <t>Finansinės veiklos grynasis rezultatas</t>
  </si>
  <si>
    <t>Pelnas (nuostoliai) prieš apmokestinimą</t>
  </si>
  <si>
    <t>Ataskaitinių metų pelno mokesčio pajamos (sąnaudos)</t>
  </si>
  <si>
    <t>Atidėtojo mokesčio pajamos (sąnaudos)</t>
  </si>
  <si>
    <t>Grynasis pelnas už metus</t>
  </si>
  <si>
    <t>Priskiriama:</t>
  </si>
  <si>
    <t>Patronuojančios bendrovės savininkams</t>
  </si>
  <si>
    <t>Nekontroliuojančiai daliai</t>
  </si>
  <si>
    <t>Kitos bendrosios pajamos (sąnaudos)</t>
  </si>
  <si>
    <t>Straipsniai, kurie ateityje nebus perklasifikuojami į pelną (nuostolius) (atėmus mokesčius)</t>
  </si>
  <si>
    <t>Apyvartinių taršos leidimų perkainojimas kitose bendrosiose pajamose</t>
  </si>
  <si>
    <t>Apibrėžtųjų išmokų plano įsipareigojimo perskaičiavimas</t>
  </si>
  <si>
    <t>Straipsniai, kurie ateityje nebus perklasifikuojami į pelną (nuostolius), iš viso</t>
  </si>
  <si>
    <t>Straipsniai, kurie ateityje gali būti perklasifikuojami į pelną (nuostolius)</t>
  </si>
  <si>
    <t>Grynųjų investicijų, veikiančių užsienyje, perskaičiavimas į Grupės pateikimo valiutą</t>
  </si>
  <si>
    <t>Straipsniai, kurie ateityje gali būti perklasifikuojami į pelną (nuostolius), iš viso</t>
  </si>
  <si>
    <t>Kitos bendrosios pajamos (sąnaudos) už metus, iš viso</t>
  </si>
  <si>
    <t>Bendrosios pajamos (sąnaudos) už metus, iš viso</t>
  </si>
  <si>
    <t>Pagrindinis pelnas, tenkantis vienai akcijai (EUR)</t>
  </si>
  <si>
    <t>Sumažintas pelnas, tenkantis vienai akcijai (EUR)</t>
  </si>
  <si>
    <t>Vidutinis svertinis akcijų skaičius</t>
  </si>
  <si>
    <t>Pagrindinės veiklos pinigų srautai</t>
  </si>
  <si>
    <t xml:space="preserve">  Grynasis pelnas už metus</t>
  </si>
  <si>
    <t>Nepiniginių sąnaudų (pajamų) atstatymas:</t>
  </si>
  <si>
    <t>Nusidėvėjimo ir amortizacijos sąnaudos</t>
  </si>
  <si>
    <t xml:space="preserve">Ilgalaikio materialiojo turto, įskaitant turto, skirto parduoti, vertės sumažėjimas </t>
  </si>
  <si>
    <t>Išvestinių finansinių priemonių tikrosios vertės pasikeitimas</t>
  </si>
  <si>
    <t xml:space="preserve">Finansinio turto vertės sumažėjimas (atstatymas) </t>
  </si>
  <si>
    <t>Pelno mokesčio sąnaudos</t>
  </si>
  <si>
    <t>Dotacijų amortizacija</t>
  </si>
  <si>
    <t>Atidėjinių padidėjimas (sumažėjimas)</t>
  </si>
  <si>
    <t>Atsargų nukainojimas iki grynosios realizavimo vertės (atstatymas)</t>
  </si>
  <si>
    <t>Apyvartinių taršos leidimų perkainojimo sąnaudos (pajamos)</t>
  </si>
  <si>
    <t>Panaudoti apyvartiniai taršos leidimai</t>
  </si>
  <si>
    <t>Investicinės veiklos rezultatų eliminavimas:</t>
  </si>
  <si>
    <t>Ilgalaikio materialiojo turto perleidimo / nurašymo nuostoliai</t>
  </si>
  <si>
    <t>Finansinės veiklos rezultatų eliminavimas:</t>
  </si>
  <si>
    <t>Palūkanų pajamos</t>
  </si>
  <si>
    <t>Palūkanų sąnaudos</t>
  </si>
  <si>
    <t xml:space="preserve">Kitos finansinės veiklos sąnaudos </t>
  </si>
  <si>
    <t>Apyvartinio kapitalo pasikeitimai:</t>
  </si>
  <si>
    <t>Prekybos ir kitų gautinų sumų (padidėjimas) sumažėjimas</t>
  </si>
  <si>
    <t>Atsargų, išankstinių apmokėjimų, kito trumpalaikio ir ilgalaikio turto (padidėjimas) sumažėjimas</t>
  </si>
  <si>
    <t>Mokėtinų sumų, ateinančių laikotarpių pajamų ir gautų išankstinių apmokėjimų padidėjimas (sumažėjimas)</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</si>
  <si>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</si>
  <si>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</si>
  <si>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</si>
  <si>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</si>
  <si>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</si>
  <si>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</si>
  <si>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</si>
  <si>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</si>
  <si>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Nuomos mokėjimai</t>
  </si>
  <si>
    <t>Išmokėti dividendai</t>
  </si>
  <si>
    <t>Grynieji finansinės veiklos pinigų srautai</t>
  </si>
  <si>
    <t>Pinigų ir pinigų ekvivalentų (įskaitant sąskaitos perviršį) padidėjimas (sumažėjimas)</t>
  </si>
  <si>
    <t>Pinigai ir pinigų ekvivalentai (įskaitant sąskaitos perviršį) laikotarpio pradžioje</t>
  </si>
  <si>
    <t>Pinigai ir pinigų ekvivalentai (įskaitant sąskaitos perviršį) laikotarpio pabaigoje</t>
  </si>
  <si>
    <t>Lanksčiosios gamybos segmento pagrindiniai finansiniai rodikliai</t>
  </si>
  <si>
    <r>
      <t xml:space="preserve">Apyvartinis kapitalas </t>
    </r>
    <r>
      <rPr>
        <sz val="10"/>
        <color rgb="FFBCBCBC"/>
        <rFont val="Arial"/>
        <family val="2"/>
        <charset val="186"/>
      </rPr>
      <t>AVR</t>
    </r>
  </si>
  <si>
    <t>** Investicijos, dengiamos iš investicijų naudą gaunančių vartotojų, apima naujų vartotojų prijungimą ir galios didinimo darbus bei infrastruktūros įrangos perkėlimą.</t>
  </si>
  <si>
    <t>Investicijos dengiamos vartotojų**</t>
  </si>
  <si>
    <t>2020 m. II ketv.</t>
  </si>
  <si>
    <t>Tinklų segmento pagrindiniai finansiniai rodikliai</t>
  </si>
  <si>
    <t>Žaliosios gamybos segmento pagrindiniai finansiniai rodikliai</t>
  </si>
  <si>
    <t>Sprendimų klientams segmento pagrindiniai finansiniai rodikliai</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</si>
  <si>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</si>
  <si>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6. Lanksčioji gamyba</t>
  </si>
  <si>
    <r>
      <t>Pajamos pagal segmentus</t>
    </r>
    <r>
      <rPr>
        <sz val="10"/>
        <color theme="7"/>
        <rFont val="Arial"/>
        <family val="2"/>
        <charset val="186"/>
      </rPr>
      <t>, mln. Eur</t>
    </r>
  </si>
  <si>
    <r>
      <t>Pajamos pagal šalis</t>
    </r>
    <r>
      <rPr>
        <sz val="10"/>
        <color theme="7"/>
        <rFont val="Arial"/>
        <family val="2"/>
        <charset val="186"/>
      </rPr>
      <t>, mln. Eur</t>
    </r>
  </si>
  <si>
    <r>
      <t>Pajamos pagal tipą</t>
    </r>
    <r>
      <rPr>
        <sz val="10"/>
        <color theme="7"/>
        <rFont val="Arial"/>
        <family val="2"/>
        <charset val="186"/>
      </rPr>
      <t>, mln. Eur</t>
    </r>
  </si>
  <si>
    <r>
      <t>Sąnaudos</t>
    </r>
    <r>
      <rPr>
        <sz val="10"/>
        <color theme="7"/>
        <rFont val="Arial"/>
        <family val="2"/>
        <charset val="186"/>
      </rPr>
      <t>, mln. Eur</t>
    </r>
  </si>
  <si>
    <r>
      <t>Koreguotas EBITDA pagal segmentus</t>
    </r>
    <r>
      <rPr>
        <sz val="10"/>
        <color theme="7"/>
        <rFont val="Arial"/>
        <family val="2"/>
        <charset val="186"/>
      </rPr>
      <t>, mln. Eur</t>
    </r>
  </si>
  <si>
    <r>
      <t>Koreguotas EBITDA pagal veiklos pobūdį</t>
    </r>
    <r>
      <rPr>
        <sz val="10"/>
        <color theme="7"/>
        <rFont val="Arial"/>
        <family val="2"/>
        <charset val="186"/>
      </rPr>
      <t>, mln. Eur</t>
    </r>
  </si>
  <si>
    <r>
      <t>Koreguotas EBIT pagal segmentus</t>
    </r>
    <r>
      <rPr>
        <sz val="10"/>
        <color theme="7"/>
        <rFont val="Arial"/>
        <family val="2"/>
        <charset val="186"/>
      </rPr>
      <t>, mln. Eur</t>
    </r>
  </si>
  <si>
    <r>
      <t>Investicijos pagal segmentus</t>
    </r>
    <r>
      <rPr>
        <sz val="10"/>
        <color theme="7"/>
        <rFont val="Arial"/>
        <family val="2"/>
        <charset val="186"/>
      </rPr>
      <t>, mln. Eur</t>
    </r>
  </si>
  <si>
    <r>
      <t>Balansas</t>
    </r>
    <r>
      <rPr>
        <sz val="10"/>
        <color theme="7"/>
        <rFont val="Arial"/>
        <family val="2"/>
        <charset val="186"/>
      </rPr>
      <t>, mln. Eur</t>
    </r>
  </si>
  <si>
    <r>
      <t xml:space="preserve">Bendrojo likvidumo koef. </t>
    </r>
    <r>
      <rPr>
        <sz val="10"/>
        <color theme="0" tint="-0.34998626667073579"/>
        <rFont val="Arial"/>
        <family val="2"/>
        <charset val="186"/>
      </rPr>
      <t>AVR</t>
    </r>
  </si>
  <si>
    <r>
      <t xml:space="preserve">Koreguoto EBIT marža </t>
    </r>
    <r>
      <rPr>
        <sz val="10"/>
        <color theme="0" tint="-0.34998626667073579"/>
        <rFont val="Arial"/>
        <family val="2"/>
        <charset val="186"/>
      </rPr>
      <t>AVR</t>
    </r>
  </si>
  <si>
    <r>
      <t xml:space="preserve">Finansinės skolos / Nuosavas kapitalas </t>
    </r>
    <r>
      <rPr>
        <sz val="10"/>
        <color theme="0" tint="-0.34998626667073579"/>
        <rFont val="Arial"/>
        <family val="2"/>
        <charset val="186"/>
      </rPr>
      <t>AVR</t>
    </r>
  </si>
  <si>
    <r>
      <t xml:space="preserve">Nuosavo kapitalo lygis </t>
    </r>
    <r>
      <rPr>
        <sz val="10"/>
        <color theme="0" tint="-0.34998626667073579"/>
        <rFont val="Arial"/>
        <family val="2"/>
        <charset val="186"/>
      </rPr>
      <t>AVR</t>
    </r>
  </si>
  <si>
    <r>
      <t>Pinigų srautai</t>
    </r>
    <r>
      <rPr>
        <sz val="10"/>
        <color theme="7"/>
        <rFont val="Arial"/>
        <family val="2"/>
        <charset val="186"/>
      </rPr>
      <t>, mln. Eur</t>
    </r>
  </si>
  <si>
    <r>
      <t>Grynoji skola</t>
    </r>
    <r>
      <rPr>
        <sz val="10"/>
        <color theme="7"/>
        <rFont val="Arial"/>
        <family val="2"/>
        <charset val="186"/>
      </rPr>
      <t>, mln. Eur</t>
    </r>
  </si>
  <si>
    <r>
      <t>EBITDA korekcijos</t>
    </r>
    <r>
      <rPr>
        <sz val="10"/>
        <color theme="7"/>
        <rFont val="Arial"/>
        <family val="2"/>
        <charset val="186"/>
      </rPr>
      <t>, mln. Eur</t>
    </r>
  </si>
  <si>
    <r>
      <t>EBIT korekcijos</t>
    </r>
    <r>
      <rPr>
        <sz val="10"/>
        <color theme="7"/>
        <rFont val="Arial"/>
        <family val="2"/>
        <charset val="186"/>
      </rPr>
      <t>, mln. Eur</t>
    </r>
  </si>
  <si>
    <r>
      <t>Koreguotas ROE</t>
    </r>
    <r>
      <rPr>
        <sz val="10"/>
        <color theme="0" tint="-0.34998626667073579"/>
        <rFont val="Arial"/>
        <family val="2"/>
        <charset val="186"/>
      </rPr>
      <t xml:space="preserve"> AVR</t>
    </r>
  </si>
  <si>
    <r>
      <t xml:space="preserve">ROE </t>
    </r>
    <r>
      <rPr>
        <sz val="10"/>
        <color theme="0" tint="-0.34998626667073579"/>
        <rFont val="Arial"/>
        <family val="2"/>
        <charset val="186"/>
      </rPr>
      <t>AVR</t>
    </r>
  </si>
  <si>
    <r>
      <t>Grynojo pelno korekcijos</t>
    </r>
    <r>
      <rPr>
        <sz val="10"/>
        <color theme="7"/>
        <rFont val="Arial"/>
        <family val="2"/>
        <charset val="186"/>
      </rPr>
      <t>, mln. Eur</t>
    </r>
  </si>
  <si>
    <t>Veiklos pelnas (nuostoliai) (EBIT**)</t>
  </si>
  <si>
    <t>EBITDA**</t>
  </si>
  <si>
    <t>www.ignitisgrupe.lt/lt/investuotojams</t>
  </si>
  <si>
    <t>Faktų lentelė
2021 m. I ketv.</t>
  </si>
  <si>
    <t>0.3 pp</t>
  </si>
  <si>
    <t>6.7 pp</t>
  </si>
  <si>
    <t>(0.6pp)</t>
  </si>
  <si>
    <t>5.9 pp</t>
  </si>
  <si>
    <t>1.3 pp</t>
  </si>
  <si>
    <t>2021.03.31</t>
  </si>
  <si>
    <t>2021 m. I ketv.</t>
  </si>
  <si>
    <t>2021 m. I ketv. %</t>
  </si>
  <si>
    <t>1.4pp</t>
  </si>
  <si>
    <t>0.4pp</t>
  </si>
  <si>
    <t>3.2pp</t>
  </si>
  <si>
    <t>-%</t>
  </si>
  <si>
    <t>Įplaukos iš ilgalaikio materialiojo ir nematerialiojo turto perleidimo*</t>
  </si>
  <si>
    <t>6.0pp</t>
  </si>
  <si>
    <t>* Kita – kita veikla ir eliminavimai (konsolidavimo koregavimai ir susijusių šalių sandoriai).</t>
  </si>
  <si>
    <t>*Pinigų įplaukos, nurodytos FCF ataskaitos eilutėje „Įplaukos iš ilgalaikio materialiojo ir nematerialiojo turto perleidimo“, rodo mažesnį pelną (nuostolius), nes jis jau įtrauktas į FFO.</t>
  </si>
  <si>
    <t>2021 m. I ketv.</t>
  </si>
  <si>
    <t>0.4 pp</t>
  </si>
  <si>
    <t>6.7pp</t>
  </si>
  <si>
    <t>(26.0 pp)</t>
  </si>
  <si>
    <t>3.8x</t>
  </si>
  <si>
    <t>3.5x</t>
  </si>
  <si>
    <t>(1.1pp)</t>
  </si>
  <si>
    <t xml:space="preserve">2021.03.31 </t>
  </si>
  <si>
    <t xml:space="preserve">2020.12.31 </t>
  </si>
  <si>
    <t>0.1 pp</t>
  </si>
  <si>
    <t>(0.4 pp)</t>
  </si>
  <si>
    <t>* Visų metų rodikliai, jei nenurodyta kitaip.</t>
  </si>
  <si>
    <t>** Pagrindiniai reguliaciniai rodikliai 2021 metams buvo patvirtinti reguliatoriaus 2020 m. pabaigoje, tačiau po kasmetinės reguliacinės patikros, kuri numatoma antrame ketvirtyje, šie rodikliai gali būti patikslinti, kad atspindėtų galutinius audituotus rezultatus.</t>
  </si>
  <si>
    <t>(9.1pp)</t>
  </si>
  <si>
    <t>∆.%</t>
  </si>
  <si>
    <t>0.0 pp</t>
  </si>
  <si>
    <t>(15.4 pp)</t>
  </si>
  <si>
    <t xml:space="preserve">    Hidroakumuliacinės elektrinės</t>
  </si>
  <si>
    <t xml:space="preserve">    Tekančio vandens hidroelektrinės</t>
  </si>
  <si>
    <t xml:space="preserve">Vėjo jėgainės </t>
  </si>
  <si>
    <t>Biomasės jėgainės</t>
  </si>
  <si>
    <t>28.9x </t>
  </si>
  <si>
    <t>Reguliuojamos veiklos dalis I ketv. koreguotame EBITDA</t>
  </si>
  <si>
    <t>Žaliosios gamybos segmento pagrindiniai reguliaciniai rodikliai*</t>
  </si>
  <si>
    <t>Tinklų segmento pagrindiniai reguliaciniai rodikliai*</t>
  </si>
  <si>
    <t>2021 m.**</t>
  </si>
  <si>
    <t>** Pagrindiniai reguliaciniai rodikliai 2021 metams buvo patvirtinti reguliatoriaus 2020 m. pabaigoje, tačiau kasmetinės reguliacinės patikros, kuri numatoma birželio mėn., šie rodikliai gali būti patikslinti, kad atspindėtų galutinius audituotus rezultatus.</t>
  </si>
  <si>
    <t>** Reguliatorius per pusę sumažino antrinio galios rezervo RAB dalį, tačiau leidžia 2021 m. pasilikti pusę uždirbto pelno iš elektros energijos pardavimų, aktyvavus antrinį galios rezervą.</t>
  </si>
  <si>
    <t>(1.9pp)</t>
  </si>
  <si>
    <t>4.4x</t>
  </si>
  <si>
    <t>Lanksčiosios gamybos segmento pagrindiniai reguliaciniai rodikliai*</t>
  </si>
  <si>
    <t>** Pagrindiniai reguliaciniai rodikliai 2021 metams buvo patvirtinti reguliatoriaus 2020 m. pabaigoje, tačiau po kasmetinės reguliacinės patikros, kuri numatoma birželio mėn., šie rodikliai gali būti patikslinti, kad atspindėtų galutinius audituotus rezultatus.</t>
  </si>
  <si>
    <t>4.0x</t>
  </si>
  <si>
    <t>Sprendimų klientams segmento pagrindiniai reguliaciniai rodikliai*</t>
  </si>
  <si>
    <t>2021 m.</t>
  </si>
  <si>
    <t xml:space="preserve">** Iki 2020 m. IV ketv. privatūs elektros klientai buvo skaičiuojami atsižvelgiant į galiojančias sutartis; nuo 2020 m. IV ketv. – privatūs elektros klientai skaičiuojami kaip objektai (objektas – vartotojo nuosavybės teise ar kitais teisėtais pagrindais valdomas objektas (įrenginys, statinys ar kita), </t>
  </si>
  <si>
    <t>Vartotojų skaičius**</t>
  </si>
  <si>
    <r>
      <t xml:space="preserve">FFO(12 mėn.) / Grynoji skola  </t>
    </r>
    <r>
      <rPr>
        <sz val="10"/>
        <color rgb="FFBCBCBC"/>
        <rFont val="Arial"/>
        <family val="2"/>
        <charset val="186"/>
      </rPr>
      <t>AVR</t>
    </r>
  </si>
  <si>
    <r>
      <t xml:space="preserve">ROA (12 mėn.) </t>
    </r>
    <r>
      <rPr>
        <sz val="10"/>
        <color theme="0" tint="-0.34998626667073579"/>
        <rFont val="Arial"/>
        <family val="2"/>
        <charset val="186"/>
      </rPr>
      <t>AVR</t>
    </r>
  </si>
  <si>
    <r>
      <t xml:space="preserve">Apyvartinis kapitalas / Pajamos (12 mėn.) </t>
    </r>
    <r>
      <rPr>
        <sz val="10"/>
        <color theme="0" tint="-0.34998626667073579"/>
        <rFont val="Arial"/>
        <family val="2"/>
        <charset val="186"/>
      </rPr>
      <t>AVR</t>
    </r>
  </si>
  <si>
    <r>
      <t xml:space="preserve">Turto apyvartumas (12 mėn.) </t>
    </r>
    <r>
      <rPr>
        <sz val="10"/>
        <color theme="0" tint="-0.34998626667073579"/>
        <rFont val="Arial"/>
        <family val="2"/>
        <charset val="186"/>
      </rPr>
      <t>AVR</t>
    </r>
  </si>
  <si>
    <r>
      <t xml:space="preserve">Grynoji skola / koreguotas EBITDA (12 mėn.) </t>
    </r>
    <r>
      <rPr>
        <sz val="10"/>
        <color theme="0" tint="-0.34998626667073579"/>
        <rFont val="Arial"/>
        <family val="2"/>
        <charset val="186"/>
      </rPr>
      <t>AVR</t>
    </r>
  </si>
  <si>
    <r>
      <t xml:space="preserve">Grynoji skola / EBITDA (12 mėn.) </t>
    </r>
    <r>
      <rPr>
        <sz val="10"/>
        <color theme="0" tint="-0.34998626667073579"/>
        <rFont val="Arial"/>
        <family val="2"/>
        <charset val="186"/>
      </rPr>
      <t>AVR</t>
    </r>
  </si>
  <si>
    <r>
      <t xml:space="preserve">FFO (12 mėn.) / Grynoji skola </t>
    </r>
    <r>
      <rPr>
        <sz val="10"/>
        <color theme="0" tint="-0.34998626667073579"/>
        <rFont val="Arial"/>
        <family val="2"/>
        <charset val="186"/>
      </rPr>
      <t xml:space="preserve">AVR </t>
    </r>
  </si>
  <si>
    <t>2020 m. I ketv. (pertvarkyta*)</t>
  </si>
  <si>
    <t>* Dalis sumų neatitinka finansinių ataskaitų, sudarytų už trijų mėnesių laikotarpį, pasibaigusį 2020 m. kovo 31 d., dėl palyginamųjų duomenų perklasifikavimo ir pelno (nuostolių) ir kitų bendrųjų pajamų ataskaitos bendro pateikimo pokyčių. Daugiau informacijos atskleista 3 ir 4 pastabose.</t>
  </si>
  <si>
    <t>** EBITDA – pelnas prieš finansinę veiklą, mokesčius, ilgalaikio materialiojo ir nematerialiojo turto nusidėvėjimą, amortizaciją, nurašymus, perkainojimo rezultatą, vertės sumažėjimo nuostolius ir apyvartinių taršos leidimų perkainojimą. Daugiau informacijos apie EBITDA, kaip alternatyvų veiklos rodiklį, pateikta 27 pastaboje.
EBIT – pelnas prieš finansinę veiklą, mokesčius. Daugiau informacijos apie EBIT, kaip alternatyvų veiklos rodiklį, pateikta 27 pastaboje.</t>
  </si>
  <si>
    <t>16.2***</t>
  </si>
  <si>
    <t>2021 m. kovo 31 d.</t>
  </si>
  <si>
    <t>Mokėjimai akcijomis</t>
  </si>
  <si>
    <t>1. Finansiniai rodikliai (tarpinio pranešimo puslapiai 20-29)</t>
  </si>
  <si>
    <t>2. Suvedimai (tarpinio pranešimo puslapiai 21-26)</t>
  </si>
  <si>
    <t>3. Veiklos rodikliai (tarpinio pranešimo puslapis 30)</t>
  </si>
  <si>
    <t>4. Tinklai (tarpinio pranešimo puslapis 33)</t>
  </si>
  <si>
    <t>5. Žalioji gamyba (tarpinio pranešimo puslapis 34)</t>
  </si>
  <si>
    <t>6. Lanksčioji gamyba (tarpinio pranešimo puslapis 35)</t>
  </si>
  <si>
    <t>7. Sprendimai klientams (tarpinio pranešimo puslapis 36)</t>
  </si>
  <si>
    <t>8. Rezultatai ketvirčiais (tarpinio pranešimo puslapis 37)</t>
  </si>
  <si>
    <r>
      <t>Konsoliduota pelno (nuostolių) ir kitų bendrųjų pajamų ataskaita</t>
    </r>
    <r>
      <rPr>
        <sz val="10"/>
        <color theme="7"/>
        <rFont val="Arial"/>
        <family val="2"/>
        <charset val="186"/>
      </rPr>
      <t>, mln. Eur</t>
    </r>
  </si>
  <si>
    <r>
      <t>Konsoliduota finansinės padėties ataskaita</t>
    </r>
    <r>
      <rPr>
        <sz val="10"/>
        <color theme="7"/>
        <rFont val="Arial"/>
        <family val="2"/>
        <charset val="186"/>
      </rPr>
      <t>, mln. Eur</t>
    </r>
  </si>
  <si>
    <r>
      <t>Konsoliduota pinigų srautų ataskaita</t>
    </r>
    <r>
      <rPr>
        <sz val="10"/>
        <color theme="7"/>
        <rFont val="Arial"/>
        <family val="2"/>
        <charset val="186"/>
      </rPr>
      <t>, mln. Eur</t>
    </r>
  </si>
  <si>
    <t>12. Turto knyga:</t>
  </si>
  <si>
    <t>12.1 Vėjas</t>
  </si>
  <si>
    <t>12.2 Hidro</t>
  </si>
  <si>
    <t>12.3 Atliekos ir Biomasė</t>
  </si>
  <si>
    <t>12.4 Gamtinės dujos</t>
  </si>
  <si>
    <t>13. Istorniai duomenys:</t>
  </si>
  <si>
    <t>13.1 Vėjo istoriniai duomenys</t>
  </si>
  <si>
    <t>13.2 Hidro istoriniai duomenys</t>
  </si>
  <si>
    <t>13.3 Atliekų ir Biomasės istoriniai duomenys</t>
  </si>
  <si>
    <t>13.4 Gamtinių dujų istorniai duomenys</t>
  </si>
  <si>
    <t>Véjo gūsis</t>
  </si>
  <si>
    <t>Lithuania</t>
  </si>
  <si>
    <t>FiT</t>
  </si>
  <si>
    <t>Véjo Vatas</t>
  </si>
  <si>
    <t>Tuuleenergia</t>
  </si>
  <si>
    <t>Estonia</t>
  </si>
  <si>
    <t>Eurakras</t>
  </si>
  <si>
    <t>Pomerania</t>
  </si>
  <si>
    <t>Poland</t>
  </si>
  <si>
    <t>51³</t>
  </si>
  <si>
    <t>38-42</t>
  </si>
  <si>
    <t>Mažeikiai</t>
  </si>
  <si>
    <t>28-32</t>
  </si>
  <si>
    <t>80-85</t>
  </si>
  <si>
    <t>210-215</t>
  </si>
  <si>
    <t>WACC, %</t>
  </si>
  <si>
    <t>3.50%</t>
  </si>
  <si>
    <t>Waste</t>
  </si>
  <si>
    <t>Q1 2021</t>
  </si>
  <si>
    <t>Bio</t>
  </si>
  <si>
    <t>Waste/Bio</t>
  </si>
  <si>
    <r>
      <rPr>
        <sz val="8"/>
        <color rgb="FF595959"/>
        <rFont val="Arial"/>
        <family val="2"/>
        <charset val="186"/>
      </rPr>
      <t>²</t>
    </r>
    <r>
      <rPr>
        <i/>
        <sz val="8"/>
        <color rgb="FF595959"/>
        <rFont val="Arial"/>
        <family val="2"/>
        <charset val="186"/>
      </rPr>
      <t xml:space="preserve"> Municipal (50%) and industrial (50%) waste incineration</t>
    </r>
  </si>
  <si>
    <t>Q1 2020</t>
  </si>
  <si>
    <t>Véjo gūsis¹</t>
  </si>
  <si>
    <t>Véjo Vatas¹</t>
  </si>
  <si>
    <t>¹Includes the full 2018 year of Vejo Vatas and Vejo Gusis, which were acquired by the Group on 5 November 2018</t>
  </si>
  <si>
    <t>5.07%</t>
  </si>
  <si>
    <t>5.00%</t>
  </si>
  <si>
    <r>
      <rPr>
        <sz val="8"/>
        <color rgb="FF595959"/>
        <rFont val="Arial"/>
        <family val="2"/>
        <charset val="186"/>
      </rPr>
      <t>¹</t>
    </r>
    <r>
      <rPr>
        <i/>
        <sz val="8"/>
        <color rgb="FF595959"/>
        <rFont val="Arial"/>
        <family val="2"/>
        <charset val="186"/>
      </rPr>
      <t>Key regulatory indicators for 2021 were approved by regulator at the end of 2020, however after annual regulatory audit, which is scheduled for June, indicators might be adjusted to reflect final audited results</t>
    </r>
  </si>
  <si>
    <r>
      <rPr>
        <sz val="8"/>
        <color rgb="FF595959"/>
        <rFont val="Arial"/>
        <family val="2"/>
        <charset val="186"/>
      </rPr>
      <t>²</t>
    </r>
    <r>
      <rPr>
        <i/>
        <sz val="8"/>
        <color rgb="FF595959"/>
        <rFont val="Arial"/>
        <family val="2"/>
        <charset val="186"/>
      </rPr>
      <t>The regulator has halved the RAB of the secondary power reserve, but allowed to keep a half of the earned profit from electricity sales by activating the secondary power reserve in 2021.</t>
    </r>
    <r>
      <rPr>
        <sz val="7"/>
        <color theme="1"/>
        <rFont val="Arial"/>
        <family val="2"/>
        <charset val="186"/>
      </rPr>
      <t>    </t>
    </r>
  </si>
  <si>
    <t>Heat generation, GWh</t>
  </si>
  <si>
    <t>Waste incineration amount, t</t>
  </si>
  <si>
    <t>¹ Expected long-term average</t>
  </si>
  <si>
    <t>2021¹</t>
  </si>
  <si>
    <t>64.0²</t>
  </si>
  <si>
    <t>Latvia</t>
  </si>
  <si>
    <t>Finland</t>
  </si>
  <si>
    <t xml:space="preserve">³ Nordpool </t>
  </si>
  <si>
    <t>⁴ GSPL Argus</t>
  </si>
  <si>
    <t>⁶ Baltpool</t>
  </si>
  <si>
    <t>12.3 Atliekos ir Biokuras</t>
  </si>
  <si>
    <t>14. Verslo aplinka</t>
  </si>
  <si>
    <t>Energijos rūšis</t>
  </si>
  <si>
    <t>Ignitis grupės valdoma dalis, %</t>
  </si>
  <si>
    <t>Finansinis konsolidavimas</t>
  </si>
  <si>
    <t>Šalis</t>
  </si>
  <si>
    <t>Veiklos pradžia</t>
  </si>
  <si>
    <t>Instaliuota galia, MW</t>
  </si>
  <si>
    <t>Pagamintas elekros kiekis, GWh¹</t>
  </si>
  <si>
    <t>Apkrovos koeficientas,%</t>
  </si>
  <si>
    <t>Skatinimo schema</t>
  </si>
  <si>
    <t>Skatinimo pabaigos data</t>
  </si>
  <si>
    <t>Veiklos sąnaudos tūkst. Eur/MW⁴</t>
  </si>
  <si>
    <t>Tarifas, Eur/MWh</t>
  </si>
  <si>
    <t>Kapitalinės investicijos, mln. Eur</t>
  </si>
  <si>
    <t>Vėjas</t>
  </si>
  <si>
    <t>Pilnas</t>
  </si>
  <si>
    <t>Estija</t>
  </si>
  <si>
    <t>Lenkija</t>
  </si>
  <si>
    <t>FiP 12 MW</t>
  </si>
  <si>
    <t>Indeksuotas CfD</t>
  </si>
  <si>
    <t>¹ Paskutinių trijų metų istorinis vidurkis veikiantiems vėjo parkams bei ilgalaikė prognozė vystomiems vėjo parkams</t>
  </si>
  <si>
    <t>⁴ Paskutinių 12 mėn. vidurkis veikiantiems vėjo parkams bei ilgalaikė prognozė vystomiems vėjo parkams</t>
  </si>
  <si>
    <t>Veikiantys ir vystomi gamybos pajėgumai</t>
  </si>
  <si>
    <t>Veikiantys gamybos pajėgumai</t>
  </si>
  <si>
    <r>
      <rPr>
        <sz val="8"/>
        <color rgb="FF595959"/>
        <rFont val="Arial"/>
        <family val="2"/>
        <charset val="186"/>
      </rPr>
      <t xml:space="preserve">³ </t>
    </r>
    <r>
      <rPr>
        <i/>
        <sz val="8"/>
        <color rgb="FF595959"/>
        <rFont val="Arial"/>
        <family val="2"/>
        <charset val="186"/>
      </rPr>
      <t>Pagrindiniai reguliuojamos veiklos rodikliai 2021 m. patvirtinti regulaitoriaus 2020 m. pab., tačiau po reguliuojamos veiklosa audito, kuris yra suplanuotas birželio mėn., rodikliai gali keistis atspindint galutinius audituotus rezultatus</t>
    </r>
  </si>
  <si>
    <r>
      <rPr>
        <sz val="8"/>
        <color rgb="FF595959"/>
        <rFont val="Arial"/>
        <family val="2"/>
        <charset val="186"/>
      </rPr>
      <t>²</t>
    </r>
    <r>
      <rPr>
        <i/>
        <sz val="8"/>
        <color rgb="FF595959"/>
        <rFont val="Arial"/>
        <family val="2"/>
        <charset val="186"/>
      </rPr>
      <t xml:space="preserve"> Paskutinių trijų metų istorinis vidurkis</t>
    </r>
  </si>
  <si>
    <t>¹ Pirma turbina įvesta į eksploataciją 1992 m., visi pajėgumai 1998 m.</t>
  </si>
  <si>
    <t>Hidroakumuliacinė</t>
  </si>
  <si>
    <t>Hidro</t>
  </si>
  <si>
    <t>Kapitalinis remontas / pratęsiamas tarnavimo laikos</t>
  </si>
  <si>
    <t>Instaliuota elektros galia, MW</t>
  </si>
  <si>
    <t>Pagamintas elektros kiekis, GWh</t>
  </si>
  <si>
    <t>Apkrovos koficientas, %</t>
  </si>
  <si>
    <t>Veiklos sąnaudos mln. Eur</t>
  </si>
  <si>
    <t>Komercinė veikla²</t>
  </si>
  <si>
    <t>Reguliuojama veikla³</t>
  </si>
  <si>
    <t>Nusidėvėjimas ir amortizacija (reguliacinis), mln. Eur</t>
  </si>
  <si>
    <t>RAB, mln. Eur</t>
  </si>
  <si>
    <t>Vilnius KJ</t>
  </si>
  <si>
    <t>Elektrėnų biokuro katilinė</t>
  </si>
  <si>
    <t>¹ Tikėtinas pilnų komercinės veiklos metų rezultatas</t>
  </si>
  <si>
    <t>100²</t>
  </si>
  <si>
    <r>
      <rPr>
        <sz val="8"/>
        <color rgb="FF595959"/>
        <rFont val="Arial"/>
        <family val="2"/>
        <charset val="186"/>
      </rPr>
      <t>²</t>
    </r>
    <r>
      <rPr>
        <i/>
        <sz val="8"/>
        <color rgb="FF595959"/>
        <rFont val="Arial"/>
        <family val="2"/>
        <charset val="186"/>
      </rPr>
      <t xml:space="preserve"> Tikimasi 2022 m. padidinti maksimalų atliekų deginimo kiekį iki 125 tonų per metus</t>
    </r>
  </si>
  <si>
    <t>Instaliuota šilumos galia, MW</t>
  </si>
  <si>
    <t>Pagamintas šilumos kiekis, GWh</t>
  </si>
  <si>
    <t>7-8 EK blokai</t>
  </si>
  <si>
    <t>Iš viso veikiantys pajėgumai</t>
  </si>
  <si>
    <t>Iš viso vystomi pajėgumai</t>
  </si>
  <si>
    <t>Iš viso veikiantys vėjo parkai</t>
  </si>
  <si>
    <t>Iš viso vystomi vėjo parkai</t>
  </si>
  <si>
    <t>Gamtinės dujos</t>
  </si>
  <si>
    <t>2012 m.</t>
  </si>
  <si>
    <t>2003 m. - 2009 m.</t>
  </si>
  <si>
    <t xml:space="preserve">2020 m. III ketv. </t>
  </si>
  <si>
    <t>2015 m.</t>
  </si>
  <si>
    <t xml:space="preserve">2022m. IV ketv. </t>
  </si>
  <si>
    <t>1992 m. -1998 m.¹</t>
  </si>
  <si>
    <t>1959 m.</t>
  </si>
  <si>
    <t>2010 m.</t>
  </si>
  <si>
    <t>2011 m.</t>
  </si>
  <si>
    <t>2013 m. -2014 m.</t>
  </si>
  <si>
    <t>2016 m.</t>
  </si>
  <si>
    <t xml:space="preserve">2021 m. II ketv. </t>
  </si>
  <si>
    <t>2023 m.</t>
  </si>
  <si>
    <t>³ 214,97 PLN/MWh, taikant 4,5589 PLN/EUR valiutos kursą  ir infliacijos indeksą 1,07 nuo 2021 m. Gegužės 1 d.</t>
  </si>
  <si>
    <t>Komercinė veikla¹</t>
  </si>
  <si>
    <t>Reguliuojama veikla²</t>
  </si>
  <si>
    <r>
      <rPr>
        <sz val="8"/>
        <color rgb="FF595959"/>
        <rFont val="Arial"/>
        <family val="2"/>
        <charset val="186"/>
      </rPr>
      <t>¹</t>
    </r>
    <r>
      <rPr>
        <i/>
        <sz val="8"/>
        <color rgb="FF595959"/>
        <rFont val="Arial"/>
        <family val="2"/>
        <charset val="186"/>
      </rPr>
      <t xml:space="preserve"> Istorinis vidurkis nuo veiklos pradžios 2020 sausio 1d.</t>
    </r>
  </si>
  <si>
    <r>
      <rPr>
        <sz val="8"/>
        <color rgb="FF595959"/>
        <rFont val="Arial"/>
        <family val="2"/>
        <charset val="186"/>
      </rPr>
      <t xml:space="preserve">² </t>
    </r>
    <r>
      <rPr>
        <i/>
        <sz val="8"/>
        <color rgb="FF595959"/>
        <rFont val="Arial"/>
        <family val="2"/>
        <charset val="186"/>
      </rPr>
      <t>Pagrindiniai reguliuojamos veiklos rodikliai 2021 m. patvirtinti regulaitoriaus 2020 m. pab., tačiau po reguliuojamos veiklosa audito, kuris yra suplanuotas birželio mėn., rodikliai gali keistis atspindint galutinius audituotus rezultatus</t>
    </r>
  </si>
  <si>
    <r>
      <rPr>
        <sz val="8"/>
        <color rgb="FF595959"/>
        <rFont val="Arial"/>
        <family val="2"/>
        <charset val="186"/>
      </rPr>
      <t>³</t>
    </r>
    <r>
      <rPr>
        <i/>
        <sz val="8.8000000000000007"/>
        <color rgb="FF595959"/>
        <rFont val="Arial"/>
        <family val="2"/>
        <charset val="186"/>
      </rPr>
      <t xml:space="preserve"> KCB bendrojo pelno prognozė numatoma konservatyvesnė nei faktinė, nes 2020 m. rinkos sąlygos buvo išskirtinai palankios KCB veiklai</t>
    </r>
  </si>
  <si>
    <t>Bendrasis pelnas, mln. Eur</t>
  </si>
  <si>
    <t>Pagaminta elektros energija, GWh</t>
  </si>
  <si>
    <t>Veiklos sąnaudos tūkst. Eur/MW</t>
  </si>
  <si>
    <t>2019 m.</t>
  </si>
  <si>
    <t>2018 m.</t>
  </si>
  <si>
    <t>2021 I ketv.</t>
  </si>
  <si>
    <t>2020 I ketv.</t>
  </si>
  <si>
    <t>2020 II ketv.</t>
  </si>
  <si>
    <t>2020 III ketv.</t>
  </si>
  <si>
    <t>2020 IV ketv.</t>
  </si>
  <si>
    <t>2019 I ketv.</t>
  </si>
  <si>
    <t>2019 II ketv.</t>
  </si>
  <si>
    <t>2019 III ketv.</t>
  </si>
  <si>
    <t>2019 IV ketv.</t>
  </si>
  <si>
    <t>2018 I ketv.</t>
  </si>
  <si>
    <t>2018 II ketv.</t>
  </si>
  <si>
    <t>2018 III ketv.</t>
  </si>
  <si>
    <t>2018 IV ketv.</t>
  </si>
  <si>
    <t>2021 m.¹</t>
  </si>
  <si>
    <t>Kauno HE</t>
  </si>
  <si>
    <t>D&amp;A regulatory, mln. Eur</t>
  </si>
  <si>
    <t>Vilniaus KJ (atliekų dalis)</t>
  </si>
  <si>
    <t>KCB komercinė</t>
  </si>
  <si>
    <t>² Remiantis Latvijos išankstine kaina (Lietuvoje nėra atskiros zonos).</t>
  </si>
  <si>
    <t>¹ 1-ų metų išankstinė kaina 2021 m. kovo 31 d. datai.</t>
  </si>
  <si>
    <t>⁵ Kogeneracinių jėgainių atliekų vartų mokestis yra mažesnis už sąvartynų vartų mokestį, nes tai yra valdžios institucijų būdas paskatinti atliekų gamintojus pasitraukti iš sąvartynų. Atliekų vartų mokestis turi viršutinę kainos ribą, pagrįstą sąvartynų mokesčiais už surinktų atliekų toną.</t>
  </si>
  <si>
    <t>Vidutinė valandinė elektros rinkos kaina ³:</t>
  </si>
  <si>
    <t>Gamtinių dujų rinkos kaina⁴</t>
  </si>
  <si>
    <t>Sąvartynu vartų mokestis⁵</t>
  </si>
  <si>
    <t>Vilniaus regiono (buitinių atliekų)</t>
  </si>
  <si>
    <t>Kauno regiono (buitinių atliekų)</t>
  </si>
  <si>
    <t>Kauno regiono (pramoninių atliekų)</t>
  </si>
  <si>
    <t>Šilumos kaina⁶</t>
  </si>
  <si>
    <t>Vilniaus regionas</t>
  </si>
  <si>
    <t>Kauno regionas</t>
  </si>
  <si>
    <t>Biokuro rinkos kaina⁶</t>
  </si>
  <si>
    <t>Eur/MWh</t>
  </si>
  <si>
    <t>Eur/t</t>
  </si>
  <si>
    <t>Apkrovos koeficientas, %</t>
  </si>
  <si>
    <t>² Pagal pajėgumą svertinė subsidijos galiojimo pabaigos data. 9 MW, kurių galiojimo laikas baigsis 2022 m. kovo 1d., ir 10 MW, kurių galiojimo laikas baigsis 2022 gruodžio 1d.</t>
  </si>
  <si>
    <t>2022 07 23²</t>
  </si>
  <si>
    <t>2023 10 01</t>
  </si>
  <si>
    <t>2026 12 01</t>
  </si>
  <si>
    <t>2027 12 01</t>
  </si>
  <si>
    <t>2035 12 31</t>
  </si>
  <si>
    <t>9. Balansas (tarpinio pranešimo puslapis 53)</t>
  </si>
  <si>
    <t>10. Pelno (nuostolių) ataskaita (tarpinio pranešimo puslapis 54)</t>
  </si>
  <si>
    <t>11. Pinigų srautai (tarpinio pranešimo puslapis 56)</t>
  </si>
  <si>
    <t>15. Pastaba</t>
  </si>
  <si>
    <t>16.2²</t>
  </si>
  <si>
    <t xml:space="preserve">2021 m. I ketv. </t>
  </si>
  <si>
    <t>Sudeginamų komunalinių atliekų kiekis, t¹</t>
  </si>
  <si>
    <t>Sudeginamų pramoninių atliekų kiekis, t¹</t>
  </si>
  <si>
    <t>Biokuro kiekis, GWh¹</t>
  </si>
  <si>
    <t xml:space="preserve">Veiklos sąnaudos mEur¹ </t>
  </si>
  <si>
    <t>Bendrasis pelnas, Eur/MWh³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</si>
</sst>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 _€_-;\-* #,##0.00\ _€_-;_-* &quot;-&quot;??\ _€_-;_-@_-"/>
    <numFmt numFmtId="165" formatCode="0.0"/>
    <numFmt numFmtId="166" formatCode="#,##0;\(#,##0\)"/>
    <numFmt numFmtId="167" formatCode="#,##0;\(#,##0.\)"/>
    <numFmt numFmtId="168" formatCode="#,##0.0"/>
    <numFmt numFmtId="169" formatCode="0.0%"/>
    <numFmt numFmtId="170" formatCode="#,##0.0;\(#,##0.0\);\-"/>
    <numFmt numFmtId="171" formatCode="#,##0.0%;\(#,##0.0%\);\-\%;@"/>
    <numFmt numFmtId="172" formatCode="#,##0.00;\(#,##0.00\);\-"/>
    <numFmt numFmtId="173" formatCode="#,##0.00;\(#,##0.00\)"/>
    <numFmt numFmtId="174" formatCode="#,##0;\(#,##0\);\-"/>
    <numFmt numFmtId="175" formatCode="#,##0.0%;\(#,##0.0%\)"/>
    <numFmt numFmtId="176" formatCode="#,##0.0;\(#,##0.0%\)"/>
    <numFmt numFmtId="177" formatCode="#,##0.000;\(#,##0.000\);\-"/>
    <numFmt numFmtId="178" formatCode="[$-409]d/mmm;@"/>
    <numFmt numFmtId="179" formatCode="_-* #,##0_-;\-* #,##0_-;_-* &quot;-&quot;??_-;_-@_-"/>
    <numFmt numFmtId="180" formatCode="#,##0.0;\(#,##0.0\)"/>
    <numFmt numFmtId="181" formatCode="_-* #,##0.0_-;\-* #,##0.0_-;_-* &quot;-&quot;??_-;_-@_-"/>
    <numFmt numFmtId="182" formatCode="_-* #,##0.0\ _€_-;\-* #,##0.0\ _€_-;_-* &quot;-&quot;?\ _€_-;_-@_-"/>
    <numFmt numFmtId="186" formatCode="_-* #,##0.0000\ _€_-;\-* #,##0.0000\ _€_-;_-* &quot;-&quot;?\ _€_-;_-@_-"/>
    <numFmt numFmtId="187" formatCode="_-* #,##0.0000_-;\-* #,##0.0000_-;_-* &quot;-&quot;??_-;_-@_-"/>
  </numFmts>
  <fonts count="66">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i/>
      <sz val="8.8000000000000007"/>
      <color rgb="FF595959"/>
      <name val="Arial"/>
      <family val="2"/>
      <charset val="186"/>
    </font>
    <font>
      <sz val="7"/>
      <color theme="3"/>
      <name val="Arial"/>
      <family val="2"/>
      <charset val="186"/>
    </font>
    <font>
      <sz val="7"/>
      <color theme="1"/>
      <name val="Arial"/>
      <family val="2"/>
      <charset val="186"/>
    </font>
    <font>
      <u/>
      <sz val="11"/>
      <color theme="10"/>
      <name val="Arial"/>
      <family val="2"/>
      <charset val="186"/>
    </font>
    <font>
      <u/>
      <sz val="10"/>
      <color theme="10"/>
      <name val="Arial"/>
      <family val="2"/>
      <charset val="186"/>
    </font>
  </fonts>
  <fills count="1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style="thin">
        <color theme="0"/>
      </top>
      <bottom/>
      <diagonal/>
    </border>
    <border>
      <left/>
      <right/>
      <top style="thin">
        <color rgb="FF00D3B7"/>
      </top>
      <bottom style="medium">
        <color theme="5"/>
      </bottom>
      <diagonal/>
    </border>
  </borders>
  <cellStyleXfs count="1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43" fontId="16" fillId="0" borderId="0" applyFont="0" applyFill="0" applyBorder="0" applyAlignment="0" applyProtection="0"/>
    <xf numFmtId="0" fontId="18" fillId="0" borderId="0"/>
    <xf numFmtId="0" fontId="16" fillId="0" borderId="0"/>
    <xf numFmtId="43" fontId="18"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166" fontId="23" fillId="0" borderId="2">
      <alignment horizontal="right" wrapText="1"/>
    </xf>
    <xf numFmtId="167" fontId="23" fillId="0" borderId="2">
      <alignment horizontal="left" wrapText="1"/>
    </xf>
  </cellStyleXfs>
  <cellXfs count="620">
    <xf numFmtId="0" fontId="0" fillId="0" borderId="0" xfId="0"/>
    <xf numFmtId="0" fontId="2" fillId="2" borderId="0" xfId="0" applyFont="1" applyFill="1"/>
    <xf numFmtId="0" fontId="3" fillId="2" borderId="0" xfId="0" applyFont="1" applyFill="1" applyAlignment="1"/>
    <xf numFmtId="0" fontId="0" fillId="2" borderId="0" xfId="0" applyFill="1"/>
    <xf numFmtId="0" fontId="5" fillId="2" borderId="0" xfId="0" applyFont="1" applyFill="1"/>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Border="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Border="1"/>
    <xf numFmtId="0" fontId="30" fillId="2" borderId="0" xfId="0" applyFont="1" applyFill="1" applyBorder="1" applyAlignment="1">
      <alignment horizontal="left" vertical="center"/>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applyBorder="1" applyAlignment="1"/>
    <xf numFmtId="0" fontId="12" fillId="2" borderId="0" xfId="0" applyFont="1" applyFill="1" applyBorder="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Border="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0" fillId="0" borderId="0" xfId="0" applyFont="1"/>
    <xf numFmtId="0" fontId="40" fillId="0" borderId="0" xfId="0" applyFont="1" applyBorder="1"/>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0" fontId="32" fillId="5" borderId="5" xfId="14" applyNumberFormat="1" applyFont="1" applyFill="1" applyBorder="1" applyAlignment="1">
      <alignment horizontal="right" vertical="center"/>
    </xf>
    <xf numFmtId="170"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0" fontId="32" fillId="5" borderId="6" xfId="14" applyNumberFormat="1" applyFont="1" applyFill="1" applyBorder="1" applyAlignment="1">
      <alignment horizontal="right" vertical="center"/>
    </xf>
    <xf numFmtId="170" fontId="32" fillId="4" borderId="6" xfId="14" applyNumberFormat="1" applyFont="1" applyFill="1" applyBorder="1" applyAlignment="1">
      <alignment horizontal="right"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0" fontId="32" fillId="5" borderId="7" xfId="14" applyNumberFormat="1" applyFont="1" applyFill="1" applyBorder="1" applyAlignment="1">
      <alignment horizontal="right" vertical="center"/>
    </xf>
    <xf numFmtId="170"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0" fontId="9" fillId="4" borderId="8" xfId="0" applyFont="1" applyFill="1" applyBorder="1" applyAlignment="1">
      <alignment horizontal="center" vertical="center"/>
    </xf>
    <xf numFmtId="170" fontId="32" fillId="5" borderId="8" xfId="14" applyNumberFormat="1" applyFont="1" applyFill="1" applyBorder="1" applyAlignment="1">
      <alignment horizontal="right" vertical="center"/>
    </xf>
    <xf numFmtId="170" fontId="32" fillId="4" borderId="8" xfId="14" applyNumberFormat="1" applyFont="1" applyFill="1" applyBorder="1" applyAlignment="1">
      <alignment horizontal="right" vertical="center"/>
    </xf>
    <xf numFmtId="170" fontId="32" fillId="4" borderId="8" xfId="14" applyNumberFormat="1" applyFont="1" applyFill="1" applyBorder="1" applyAlignment="1">
      <alignment horizontal="right" vertical="top"/>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31" fillId="2" borderId="4" xfId="0" applyFont="1" applyFill="1" applyBorder="1" applyAlignment="1">
      <alignment vertical="center"/>
    </xf>
    <xf numFmtId="0" fontId="25" fillId="2" borderId="4" xfId="0" applyFont="1" applyFill="1" applyBorder="1"/>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0" fontId="37" fillId="4" borderId="7" xfId="14" applyNumberFormat="1" applyFont="1" applyFill="1" applyBorder="1" applyAlignment="1">
      <alignment horizontal="right" vertical="center"/>
    </xf>
    <xf numFmtId="171" fontId="37" fillId="4" borderId="7" xfId="14" applyNumberFormat="1" applyFont="1" applyFill="1" applyBorder="1" applyAlignment="1">
      <alignment horizontal="right" vertical="center"/>
    </xf>
    <xf numFmtId="170" fontId="37" fillId="4" borderId="8"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170" fontId="32" fillId="5" borderId="10" xfId="14" applyNumberFormat="1" applyFont="1" applyFill="1" applyBorder="1" applyAlignment="1">
      <alignment horizontal="right" vertical="center"/>
    </xf>
    <xf numFmtId="170" fontId="32" fillId="4" borderId="10" xfId="14" applyNumberFormat="1" applyFont="1" applyFill="1" applyBorder="1" applyAlignment="1">
      <alignment horizontal="right" vertical="center"/>
    </xf>
    <xf numFmtId="170" fontId="37"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170" fontId="36" fillId="5" borderId="11" xfId="14" applyNumberFormat="1" applyFont="1" applyFill="1" applyBorder="1" applyAlignment="1">
      <alignment horizontal="right" vertical="center"/>
    </xf>
    <xf numFmtId="170" fontId="36" fillId="4" borderId="11" xfId="14" applyNumberFormat="1" applyFont="1" applyFill="1" applyBorder="1" applyAlignment="1">
      <alignment horizontal="right" vertical="center"/>
    </xf>
    <xf numFmtId="170" fontId="48"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0" fontId="40" fillId="0" borderId="0" xfId="0" applyFont="1" applyBorder="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0" fontId="36" fillId="5" borderId="7" xfId="14" applyNumberFormat="1" applyFont="1" applyFill="1" applyBorder="1" applyAlignment="1">
      <alignment horizontal="right" vertical="center"/>
    </xf>
    <xf numFmtId="170" fontId="36" fillId="4" borderId="7" xfId="14" applyNumberFormat="1" applyFont="1" applyFill="1" applyBorder="1" applyAlignment="1">
      <alignment horizontal="right" vertical="center"/>
    </xf>
    <xf numFmtId="170" fontId="48"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69"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69" fontId="32" fillId="5" borderId="8" xfId="1" applyNumberFormat="1" applyFont="1" applyFill="1" applyBorder="1" applyAlignment="1">
      <alignment horizontal="right" vertical="center"/>
    </xf>
    <xf numFmtId="169" fontId="32" fillId="4" borderId="8" xfId="1" applyNumberFormat="1" applyFont="1" applyFill="1" applyBorder="1" applyAlignment="1">
      <alignment horizontal="right" vertical="center"/>
    </xf>
    <xf numFmtId="0" fontId="40" fillId="0" borderId="16" xfId="0" applyFont="1" applyBorder="1" applyAlignment="1">
      <alignment wrapText="1"/>
    </xf>
    <xf numFmtId="0" fontId="25" fillId="2" borderId="0" xfId="0" applyFont="1" applyFill="1" applyBorder="1" applyAlignment="1">
      <alignment wrapText="1"/>
    </xf>
    <xf numFmtId="172" fontId="32" fillId="5" borderId="7" xfId="14" applyNumberFormat="1" applyFont="1" applyFill="1" applyBorder="1" applyAlignment="1">
      <alignment horizontal="right" vertical="center"/>
    </xf>
    <xf numFmtId="172" fontId="32"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170" fontId="36" fillId="4" borderId="7" xfId="14" applyNumberFormat="1" applyFont="1" applyFill="1" applyBorder="1" applyAlignment="1">
      <alignment horizontal="right" vertical="top"/>
    </xf>
    <xf numFmtId="170" fontId="36" fillId="5" borderId="7" xfId="14" applyNumberFormat="1" applyFont="1" applyFill="1" applyBorder="1" applyAlignment="1">
      <alignment horizontal="right" vertical="top"/>
    </xf>
    <xf numFmtId="170" fontId="32" fillId="5" borderId="8" xfId="14" applyNumberFormat="1" applyFont="1" applyFill="1" applyBorder="1" applyAlignment="1">
      <alignment horizontal="right" vertical="top"/>
    </xf>
    <xf numFmtId="170" fontId="32" fillId="4" borderId="9" xfId="14" applyNumberFormat="1" applyFont="1" applyFill="1" applyBorder="1" applyAlignment="1">
      <alignment horizontal="right" vertical="top"/>
    </xf>
    <xf numFmtId="170" fontId="32" fillId="5" borderId="9" xfId="14" applyNumberFormat="1" applyFont="1" applyFill="1" applyBorder="1" applyAlignment="1">
      <alignment horizontal="right" vertical="top"/>
    </xf>
    <xf numFmtId="0" fontId="12" fillId="4" borderId="17" xfId="0" applyFont="1" applyFill="1" applyBorder="1" applyAlignment="1">
      <alignment horizontal="left" vertical="center" wrapText="1"/>
    </xf>
    <xf numFmtId="170" fontId="36" fillId="4" borderId="17" xfId="14" applyNumberFormat="1" applyFont="1" applyFill="1" applyBorder="1" applyAlignment="1">
      <alignment horizontal="right" vertical="top"/>
    </xf>
    <xf numFmtId="170" fontId="36" fillId="5" borderId="17" xfId="14" applyNumberFormat="1" applyFont="1" applyFill="1" applyBorder="1" applyAlignment="1">
      <alignment horizontal="right" vertical="top"/>
    </xf>
    <xf numFmtId="168" fontId="9" fillId="4" borderId="8" xfId="0" applyNumberFormat="1" applyFont="1" applyFill="1" applyBorder="1" applyAlignment="1">
      <alignment horizontal="right" vertical="center"/>
    </xf>
    <xf numFmtId="168" fontId="9" fillId="4" borderId="8" xfId="0" applyNumberFormat="1" applyFont="1" applyFill="1" applyBorder="1" applyAlignment="1">
      <alignment horizontal="right" vertical="center" wrapText="1"/>
    </xf>
    <xf numFmtId="168" fontId="9" fillId="4" borderId="9" xfId="0" applyNumberFormat="1" applyFont="1" applyFill="1" applyBorder="1" applyAlignment="1">
      <alignment horizontal="right" vertical="center"/>
    </xf>
    <xf numFmtId="168" fontId="9" fillId="4" borderId="9" xfId="0" applyNumberFormat="1" applyFont="1" applyFill="1" applyBorder="1" applyAlignment="1">
      <alignment horizontal="right" vertical="center" wrapText="1"/>
    </xf>
    <xf numFmtId="168" fontId="12" fillId="4" borderId="14" xfId="0" applyNumberFormat="1" applyFont="1" applyFill="1" applyBorder="1" applyAlignment="1">
      <alignment horizontal="right" vertical="center"/>
    </xf>
    <xf numFmtId="168" fontId="12" fillId="4" borderId="14" xfId="0" applyNumberFormat="1" applyFont="1" applyFill="1" applyBorder="1" applyAlignment="1">
      <alignment horizontal="right" vertical="center" wrapText="1"/>
    </xf>
    <xf numFmtId="168" fontId="9" fillId="4" borderId="14" xfId="0" applyNumberFormat="1" applyFont="1" applyFill="1" applyBorder="1" applyAlignment="1">
      <alignment horizontal="right" vertical="center"/>
    </xf>
    <xf numFmtId="170" fontId="36" fillId="5" borderId="14" xfId="14" applyNumberFormat="1" applyFont="1" applyFill="1" applyBorder="1" applyAlignment="1">
      <alignment horizontal="right" vertical="top"/>
    </xf>
    <xf numFmtId="170" fontId="36" fillId="4" borderId="14" xfId="14" applyNumberFormat="1" applyFont="1" applyFill="1" applyBorder="1" applyAlignment="1">
      <alignment horizontal="right" vertical="top"/>
    </xf>
    <xf numFmtId="0" fontId="47" fillId="4" borderId="0" xfId="0" applyFont="1" applyFill="1" applyAlignment="1">
      <alignment horizontal="left" vertical="top" wrapText="1"/>
    </xf>
    <xf numFmtId="0" fontId="13" fillId="4" borderId="8" xfId="0" applyFont="1" applyFill="1" applyBorder="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170" fontId="32" fillId="4" borderId="18" xfId="14" applyNumberFormat="1" applyFont="1" applyFill="1" applyBorder="1" applyAlignment="1">
      <alignment horizontal="right" vertical="center"/>
    </xf>
    <xf numFmtId="0" fontId="9" fillId="2" borderId="0" xfId="0" applyFont="1" applyFill="1" applyAlignment="1">
      <alignment horizontal="right" vertical="center"/>
    </xf>
    <xf numFmtId="169" fontId="32" fillId="4" borderId="18" xfId="1" applyNumberFormat="1" applyFont="1" applyFill="1" applyBorder="1" applyAlignment="1">
      <alignment horizontal="right"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0" fontId="9" fillId="2" borderId="13" xfId="0" applyFont="1" applyFill="1" applyBorder="1" applyAlignment="1">
      <alignment horizontal="right" vertical="center"/>
    </xf>
    <xf numFmtId="0" fontId="9" fillId="2" borderId="13" xfId="0" applyFont="1" applyFill="1" applyBorder="1" applyAlignment="1">
      <alignment horizontal="right" vertical="center" wrapText="1"/>
    </xf>
    <xf numFmtId="174" fontId="32" fillId="5" borderId="18" xfId="14"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4" fontId="9" fillId="2" borderId="13" xfId="0" applyNumberFormat="1" applyFont="1" applyFill="1" applyBorder="1" applyAlignment="1">
      <alignment horizontal="right" vertical="center" wrapText="1"/>
    </xf>
    <xf numFmtId="172" fontId="32" fillId="5" borderId="18" xfId="14" applyNumberFormat="1" applyFont="1" applyFill="1" applyBorder="1" applyAlignment="1">
      <alignment horizontal="right" vertical="center"/>
    </xf>
    <xf numFmtId="172" fontId="32" fillId="4" borderId="18" xfId="14" applyNumberFormat="1" applyFont="1" applyFill="1" applyBorder="1" applyAlignment="1">
      <alignment horizontal="right" vertical="center"/>
    </xf>
    <xf numFmtId="169" fontId="32" fillId="5" borderId="18" xfId="1" applyNumberFormat="1" applyFont="1" applyFill="1" applyBorder="1" applyAlignment="1">
      <alignment horizontal="right" vertical="center"/>
    </xf>
    <xf numFmtId="169" fontId="9" fillId="2" borderId="13" xfId="1" applyNumberFormat="1" applyFont="1" applyFill="1" applyBorder="1" applyAlignment="1">
      <alignment horizontal="right" vertical="center"/>
    </xf>
    <xf numFmtId="169" fontId="9" fillId="2" borderId="13" xfId="1" applyNumberFormat="1" applyFont="1" applyFill="1" applyBorder="1" applyAlignment="1">
      <alignment horizontal="right" vertical="center" wrapText="1"/>
    </xf>
    <xf numFmtId="169" fontId="32" fillId="4" borderId="13" xfId="1" applyNumberFormat="1" applyFont="1" applyFill="1" applyBorder="1" applyAlignment="1">
      <alignment horizontal="right" vertical="center"/>
    </xf>
    <xf numFmtId="176" fontId="13" fillId="2" borderId="13" xfId="1" applyNumberFormat="1" applyFont="1" applyFill="1" applyBorder="1" applyAlignment="1">
      <alignment horizontal="right" vertical="center"/>
    </xf>
    <xf numFmtId="169" fontId="32" fillId="4" borderId="12"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2" fontId="37" fillId="4" borderId="7" xfId="14" applyNumberFormat="1" applyFont="1" applyFill="1" applyBorder="1" applyAlignment="1">
      <alignment horizontal="right" vertical="center"/>
    </xf>
    <xf numFmtId="169" fontId="32" fillId="5" borderId="7" xfId="1" applyNumberFormat="1" applyFont="1" applyFill="1" applyBorder="1" applyAlignment="1">
      <alignment horizontal="right" vertical="center"/>
    </xf>
    <xf numFmtId="169" fontId="32" fillId="4" borderId="7" xfId="1" applyNumberFormat="1" applyFont="1" applyFill="1" applyBorder="1" applyAlignment="1">
      <alignment horizontal="right" vertical="center"/>
    </xf>
    <xf numFmtId="169" fontId="37" fillId="4" borderId="7" xfId="1" applyNumberFormat="1" applyFont="1" applyFill="1" applyBorder="1" applyAlignment="1">
      <alignment horizontal="right" vertical="center"/>
    </xf>
    <xf numFmtId="2" fontId="32" fillId="5" borderId="18" xfId="14" applyNumberFormat="1" applyFont="1" applyFill="1" applyBorder="1" applyAlignment="1">
      <alignment horizontal="right" vertical="center"/>
    </xf>
    <xf numFmtId="2" fontId="32" fillId="4" borderId="18" xfId="14" applyNumberFormat="1" applyFont="1" applyFill="1" applyBorder="1" applyAlignment="1">
      <alignment horizontal="right" vertical="center"/>
    </xf>
    <xf numFmtId="2" fontId="37" fillId="4" borderId="18" xfId="14" applyNumberFormat="1" applyFont="1" applyFill="1" applyBorder="1" applyAlignment="1">
      <alignment horizontal="right" vertical="center"/>
    </xf>
    <xf numFmtId="171" fontId="37" fillId="4" borderId="18" xfId="14" applyNumberFormat="1" applyFont="1" applyFill="1" applyBorder="1" applyAlignment="1">
      <alignment horizontal="right" vertical="center"/>
    </xf>
    <xf numFmtId="173" fontId="9" fillId="5" borderId="13" xfId="0" applyNumberFormat="1" applyFont="1" applyFill="1" applyBorder="1" applyAlignment="1">
      <alignment horizontal="right" vertical="center"/>
    </xf>
    <xf numFmtId="173" fontId="9" fillId="2" borderId="13" xfId="0" applyNumberFormat="1" applyFont="1" applyFill="1" applyBorder="1" applyAlignment="1">
      <alignment horizontal="right" vertical="center"/>
    </xf>
    <xf numFmtId="173" fontId="13" fillId="2" borderId="13" xfId="0" applyNumberFormat="1" applyFont="1" applyFill="1" applyBorder="1" applyAlignment="1">
      <alignment horizontal="right" vertical="center"/>
    </xf>
    <xf numFmtId="171" fontId="37" fillId="4" borderId="13" xfId="14" applyNumberFormat="1" applyFont="1" applyFill="1" applyBorder="1" applyAlignment="1">
      <alignment horizontal="right" vertical="center"/>
    </xf>
    <xf numFmtId="173" fontId="9" fillId="5" borderId="0" xfId="0" applyNumberFormat="1" applyFont="1" applyFill="1" applyAlignment="1">
      <alignment horizontal="right" vertical="center"/>
    </xf>
    <xf numFmtId="173" fontId="9" fillId="2" borderId="0" xfId="0" applyNumberFormat="1" applyFont="1" applyFill="1" applyAlignment="1">
      <alignment horizontal="right" vertical="center"/>
    </xf>
    <xf numFmtId="173"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1" fontId="37" fillId="4" borderId="12" xfId="14" applyNumberFormat="1" applyFont="1" applyFill="1" applyBorder="1" applyAlignment="1">
      <alignment horizontal="right" vertical="center"/>
    </xf>
    <xf numFmtId="169" fontId="9" fillId="5" borderId="13" xfId="1" applyNumberFormat="1" applyFont="1" applyFill="1" applyBorder="1" applyAlignment="1">
      <alignment horizontal="right" vertical="center"/>
    </xf>
    <xf numFmtId="169" fontId="13" fillId="2" borderId="13" xfId="1" applyNumberFormat="1" applyFont="1" applyFill="1" applyBorder="1" applyAlignment="1">
      <alignment horizontal="right" vertical="center"/>
    </xf>
    <xf numFmtId="169" fontId="37" fillId="4" borderId="13" xfId="1" applyNumberFormat="1" applyFont="1" applyFill="1" applyBorder="1" applyAlignment="1">
      <alignment horizontal="right" vertical="center"/>
    </xf>
    <xf numFmtId="166" fontId="9" fillId="5" borderId="13" xfId="0" applyNumberFormat="1" applyFont="1" applyFill="1" applyBorder="1" applyAlignment="1">
      <alignment horizontal="right" vertical="center"/>
    </xf>
    <xf numFmtId="166" fontId="9" fillId="2" borderId="13" xfId="0" applyNumberFormat="1" applyFont="1" applyFill="1" applyBorder="1" applyAlignment="1">
      <alignment horizontal="right" vertical="center"/>
    </xf>
    <xf numFmtId="166" fontId="13" fillId="2" borderId="13" xfId="0"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10" fontId="32" fillId="5" borderId="18" xfId="1" applyNumberFormat="1" applyFont="1" applyFill="1" applyBorder="1" applyAlignment="1">
      <alignment horizontal="right" vertical="center"/>
    </xf>
    <xf numFmtId="10" fontId="32" fillId="4" borderId="18" xfId="1" applyNumberFormat="1" applyFont="1" applyFill="1" applyBorder="1" applyAlignment="1">
      <alignment horizontal="right" vertical="center"/>
    </xf>
    <xf numFmtId="168" fontId="32" fillId="5" borderId="18" xfId="14" applyNumberFormat="1" applyFont="1" applyFill="1" applyBorder="1" applyAlignment="1">
      <alignment horizontal="right" vertical="center"/>
    </xf>
    <xf numFmtId="168" fontId="32" fillId="4" borderId="18" xfId="14" applyNumberFormat="1" applyFont="1" applyFill="1" applyBorder="1" applyAlignment="1">
      <alignment horizontal="right" vertical="center"/>
    </xf>
    <xf numFmtId="168" fontId="36" fillId="5" borderId="18" xfId="14" applyNumberFormat="1" applyFont="1" applyFill="1" applyBorder="1" applyAlignment="1">
      <alignment horizontal="right" vertical="center"/>
    </xf>
    <xf numFmtId="168" fontId="36" fillId="4" borderId="18" xfId="14" applyNumberFormat="1" applyFont="1" applyFill="1" applyBorder="1" applyAlignment="1">
      <alignment horizontal="right" vertical="center"/>
    </xf>
    <xf numFmtId="0" fontId="9" fillId="4" borderId="0" xfId="0" applyFont="1" applyFill="1" applyAlignment="1">
      <alignment horizontal="left" vertical="center" wrapText="1"/>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5"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5"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5" fontId="13" fillId="2" borderId="7" xfId="1" applyNumberFormat="1" applyFont="1" applyFill="1" applyBorder="1" applyAlignment="1">
      <alignment horizontal="right" vertical="center" wrapText="1"/>
    </xf>
    <xf numFmtId="0" fontId="9" fillId="2" borderId="0" xfId="0" applyFont="1" applyFill="1" applyAlignment="1">
      <alignment horizontal="left" vertical="center" wrapText="1" indent="1"/>
    </xf>
    <xf numFmtId="0" fontId="9" fillId="2" borderId="0" xfId="0" applyFont="1" applyFill="1" applyAlignment="1">
      <alignment horizontal="right" vertical="center" wrapText="1"/>
    </xf>
    <xf numFmtId="173" fontId="13" fillId="2" borderId="8" xfId="0" applyNumberFormat="1" applyFont="1" applyFill="1" applyBorder="1" applyAlignment="1">
      <alignment horizontal="right" vertical="center"/>
    </xf>
    <xf numFmtId="169" fontId="9" fillId="5" borderId="8" xfId="0" applyNumberFormat="1" applyFont="1" applyFill="1" applyBorder="1" applyAlignment="1">
      <alignment horizontal="right" vertical="center" wrapText="1"/>
    </xf>
    <xf numFmtId="169"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69" fontId="9" fillId="5" borderId="10" xfId="0" applyNumberFormat="1" applyFont="1" applyFill="1" applyBorder="1" applyAlignment="1">
      <alignment horizontal="right" vertical="center" wrapText="1"/>
    </xf>
    <xf numFmtId="169"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5"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0" fontId="9" fillId="5" borderId="9" xfId="1" applyNumberFormat="1" applyFont="1" applyFill="1" applyBorder="1" applyAlignment="1">
      <alignment horizontal="right" vertical="center" wrapText="1"/>
    </xf>
    <xf numFmtId="10" fontId="9" fillId="2" borderId="9" xfId="1" applyNumberFormat="1" applyFont="1" applyFill="1" applyBorder="1" applyAlignment="1">
      <alignment horizontal="right" vertical="center" wrapText="1"/>
    </xf>
    <xf numFmtId="0" fontId="40" fillId="0" borderId="16" xfId="0" applyFont="1" applyBorder="1"/>
    <xf numFmtId="0" fontId="33" fillId="2" borderId="0" xfId="0" applyFont="1" applyFill="1" applyAlignment="1">
      <alignment horizontal="center" vertical="center"/>
    </xf>
    <xf numFmtId="9" fontId="37" fillId="4" borderId="7" xfId="1" applyFont="1" applyFill="1" applyBorder="1" applyAlignment="1">
      <alignment horizontal="right" vertical="center"/>
    </xf>
    <xf numFmtId="172" fontId="37" fillId="4" borderId="7" xfId="1" applyNumberFormat="1" applyFont="1" applyFill="1" applyBorder="1" applyAlignment="1">
      <alignment horizontal="right" vertical="center"/>
    </xf>
    <xf numFmtId="174" fontId="32" fillId="5" borderId="7" xfId="14" applyNumberFormat="1" applyFont="1" applyFill="1" applyBorder="1" applyAlignment="1">
      <alignment horizontal="right" vertical="center"/>
    </xf>
    <xf numFmtId="174" fontId="32" fillId="4" borderId="7" xfId="14" applyNumberFormat="1" applyFont="1" applyFill="1" applyBorder="1" applyAlignment="1">
      <alignment horizontal="right" vertical="center"/>
    </xf>
    <xf numFmtId="174" fontId="37" fillId="4" borderId="7" xfId="14" applyNumberFormat="1" applyFont="1" applyFill="1" applyBorder="1" applyAlignment="1">
      <alignment horizontal="right" vertical="center"/>
    </xf>
    <xf numFmtId="165" fontId="9" fillId="5" borderId="9" xfId="0" applyNumberFormat="1" applyFont="1" applyFill="1" applyBorder="1" applyAlignment="1">
      <alignment horizontal="right" vertical="center" wrapText="1"/>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13"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2" fontId="13" fillId="2" borderId="9" xfId="0" applyNumberFormat="1" applyFont="1" applyFill="1" applyBorder="1" applyAlignment="1">
      <alignment horizontal="right" vertical="center" wrapText="1"/>
    </xf>
    <xf numFmtId="0" fontId="12" fillId="2" borderId="9" xfId="0" applyFont="1" applyFill="1" applyBorder="1" applyAlignment="1">
      <alignment horizontal="center" vertical="center" wrapText="1"/>
    </xf>
    <xf numFmtId="2" fontId="12" fillId="5" borderId="9" xfId="0" applyNumberFormat="1" applyFont="1" applyFill="1" applyBorder="1" applyAlignment="1">
      <alignment horizontal="right" vertical="center" wrapText="1"/>
    </xf>
    <xf numFmtId="2" fontId="12" fillId="2" borderId="9" xfId="0" applyNumberFormat="1" applyFont="1" applyFill="1" applyBorder="1" applyAlignment="1">
      <alignment horizontal="right" vertical="center" wrapText="1"/>
    </xf>
    <xf numFmtId="2" fontId="15" fillId="2" borderId="9" xfId="0" applyNumberFormat="1" applyFont="1" applyFill="1" applyBorder="1" applyAlignment="1">
      <alignment horizontal="right" vertical="center" wrapText="1"/>
    </xf>
    <xf numFmtId="175" fontId="15" fillId="2" borderId="9" xfId="1" applyNumberFormat="1" applyFont="1" applyFill="1" applyBorder="1" applyAlignment="1">
      <alignment horizontal="right" vertical="center" wrapText="1"/>
    </xf>
    <xf numFmtId="2" fontId="9" fillId="5" borderId="18" xfId="0" applyNumberFormat="1" applyFont="1" applyFill="1" applyBorder="1" applyAlignment="1">
      <alignment horizontal="right" vertical="center" wrapText="1"/>
    </xf>
    <xf numFmtId="2" fontId="9" fillId="2" borderId="18" xfId="0" applyNumberFormat="1" applyFont="1" applyFill="1" applyBorder="1" applyAlignment="1">
      <alignment horizontal="right" vertical="center" wrapText="1"/>
    </xf>
    <xf numFmtId="2" fontId="13" fillId="2" borderId="18" xfId="0" applyNumberFormat="1" applyFont="1" applyFill="1" applyBorder="1" applyAlignment="1">
      <alignment horizontal="right" vertical="center" wrapText="1"/>
    </xf>
    <xf numFmtId="175"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3" fontId="9" fillId="5" borderId="15" xfId="0" applyNumberFormat="1" applyFont="1" applyFill="1" applyBorder="1" applyAlignment="1">
      <alignment horizontal="right" vertical="center"/>
    </xf>
    <xf numFmtId="173" fontId="9" fillId="2" borderId="15" xfId="0" applyNumberFormat="1" applyFont="1" applyFill="1" applyBorder="1" applyAlignment="1">
      <alignment horizontal="right" vertical="center"/>
    </xf>
    <xf numFmtId="173" fontId="13" fillId="2" borderId="15" xfId="0" applyNumberFormat="1" applyFont="1" applyFill="1" applyBorder="1" applyAlignment="1">
      <alignment horizontal="right" vertical="center"/>
    </xf>
    <xf numFmtId="171" fontId="37" fillId="4" borderId="15" xfId="14" applyNumberFormat="1" applyFont="1" applyFill="1" applyBorder="1" applyAlignment="1">
      <alignment horizontal="right" vertical="center"/>
    </xf>
    <xf numFmtId="173" fontId="12" fillId="5" borderId="12" xfId="0" applyNumberFormat="1" applyFont="1" applyFill="1" applyBorder="1" applyAlignment="1">
      <alignment horizontal="right" vertical="center"/>
    </xf>
    <xf numFmtId="173" fontId="12" fillId="2" borderId="12" xfId="0" applyNumberFormat="1" applyFont="1" applyFill="1" applyBorder="1" applyAlignment="1">
      <alignment horizontal="right" vertical="center"/>
    </xf>
    <xf numFmtId="173" fontId="15" fillId="2" borderId="12" xfId="0" applyNumberFormat="1" applyFont="1" applyFill="1" applyBorder="1" applyAlignment="1">
      <alignment horizontal="right" vertical="center"/>
    </xf>
    <xf numFmtId="171"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7" fontId="32" fillId="5" borderId="7" xfId="14" applyNumberFormat="1" applyFont="1" applyFill="1" applyBorder="1" applyAlignment="1">
      <alignment horizontal="right" vertical="center"/>
    </xf>
    <xf numFmtId="177"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5" fontId="32" fillId="5" borderId="6" xfId="14" applyNumberFormat="1" applyFont="1" applyFill="1" applyBorder="1" applyAlignment="1">
      <alignment horizontal="right" vertical="center"/>
    </xf>
    <xf numFmtId="165" fontId="32" fillId="4" borderId="6" xfId="14" applyNumberFormat="1" applyFont="1" applyFill="1" applyBorder="1" applyAlignment="1">
      <alignment horizontal="right" vertical="center"/>
    </xf>
    <xf numFmtId="169" fontId="32" fillId="5" borderId="6" xfId="1" applyNumberFormat="1" applyFont="1" applyFill="1" applyBorder="1" applyAlignment="1">
      <alignment horizontal="right" vertical="center"/>
    </xf>
    <xf numFmtId="172" fontId="32" fillId="5" borderId="5" xfId="14" applyNumberFormat="1" applyFont="1" applyFill="1" applyBorder="1" applyAlignment="1">
      <alignment horizontal="right" vertical="center"/>
    </xf>
    <xf numFmtId="172"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4" fontId="36" fillId="5" borderId="7" xfId="14" applyNumberFormat="1" applyFont="1" applyFill="1" applyBorder="1" applyAlignment="1">
      <alignment horizontal="right" vertical="center"/>
    </xf>
    <xf numFmtId="174"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2" fontId="36" fillId="5" borderId="7" xfId="14" applyNumberFormat="1" applyFont="1" applyFill="1" applyBorder="1" applyAlignment="1">
      <alignment horizontal="right" vertical="center"/>
    </xf>
    <xf numFmtId="172"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Fill="1" applyBorder="1" applyAlignment="1">
      <alignment horizontal="left" vertical="center" wrapText="1" indent="3"/>
    </xf>
    <xf numFmtId="0" fontId="11" fillId="3" borderId="11" xfId="0" applyFont="1" applyFill="1" applyBorder="1" applyAlignment="1">
      <alignment horizontal="right" vertical="center" wrapText="1"/>
    </xf>
    <xf numFmtId="0" fontId="12" fillId="2" borderId="4" xfId="0" applyFont="1" applyFill="1" applyBorder="1" applyAlignment="1">
      <alignment horizontal="left" vertical="center"/>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170" fontId="32" fillId="5" borderId="5" xfId="14" applyNumberFormat="1" applyFont="1" applyFill="1" applyBorder="1" applyAlignment="1">
      <alignment horizontal="right" vertical="center" wrapText="1"/>
    </xf>
    <xf numFmtId="170" fontId="32" fillId="4" borderId="5" xfId="14" applyNumberFormat="1" applyFont="1" applyFill="1" applyBorder="1" applyAlignment="1">
      <alignment horizontal="right" vertical="center" wrapText="1"/>
    </xf>
    <xf numFmtId="170" fontId="37" fillId="4" borderId="7" xfId="14" applyNumberFormat="1" applyFont="1" applyFill="1" applyBorder="1" applyAlignment="1">
      <alignment horizontal="right" vertical="top" wrapText="1"/>
    </xf>
    <xf numFmtId="171" fontId="37" fillId="4" borderId="7" xfId="14" applyNumberFormat="1" applyFont="1" applyFill="1" applyBorder="1" applyAlignment="1">
      <alignment horizontal="right" vertical="top" wrapText="1"/>
    </xf>
    <xf numFmtId="170" fontId="32" fillId="5" borderId="6" xfId="14" applyNumberFormat="1" applyFont="1" applyFill="1" applyBorder="1" applyAlignment="1">
      <alignment horizontal="right" vertical="center" wrapText="1"/>
    </xf>
    <xf numFmtId="170" fontId="32" fillId="4" borderId="6" xfId="14" applyNumberFormat="1" applyFont="1" applyFill="1" applyBorder="1" applyAlignment="1">
      <alignment horizontal="right" vertical="center" wrapText="1"/>
    </xf>
    <xf numFmtId="170" fontId="37" fillId="4" borderId="8" xfId="14" applyNumberFormat="1" applyFont="1" applyFill="1" applyBorder="1" applyAlignment="1">
      <alignment horizontal="right" vertical="top" wrapText="1"/>
    </xf>
    <xf numFmtId="171" fontId="37" fillId="4" borderId="8" xfId="14" applyNumberFormat="1" applyFont="1" applyFill="1" applyBorder="1" applyAlignment="1">
      <alignment horizontal="right" vertical="top" wrapText="1"/>
    </xf>
    <xf numFmtId="171" fontId="32" fillId="5" borderId="6" xfId="14" applyNumberFormat="1" applyFont="1" applyFill="1" applyBorder="1" applyAlignment="1">
      <alignment horizontal="right" vertical="center" wrapText="1"/>
    </xf>
    <xf numFmtId="171" fontId="32" fillId="4" borderId="6" xfId="14" applyNumberFormat="1" applyFont="1" applyFill="1" applyBorder="1" applyAlignment="1">
      <alignment horizontal="right" vertical="center" wrapText="1"/>
    </xf>
    <xf numFmtId="0" fontId="25" fillId="0" borderId="0" xfId="0" applyFont="1" applyAlignment="1">
      <alignment wrapText="1"/>
    </xf>
    <xf numFmtId="172" fontId="32" fillId="5" borderId="6" xfId="14" applyNumberFormat="1" applyFont="1" applyFill="1" applyBorder="1" applyAlignment="1">
      <alignment horizontal="right" vertical="center" wrapText="1"/>
    </xf>
    <xf numFmtId="172" fontId="32" fillId="4" borderId="6" xfId="14" applyNumberFormat="1" applyFont="1" applyFill="1" applyBorder="1" applyAlignment="1">
      <alignment horizontal="right" vertical="center" wrapText="1"/>
    </xf>
    <xf numFmtId="172" fontId="37" fillId="4" borderId="8" xfId="14" applyNumberFormat="1" applyFont="1" applyFill="1" applyBorder="1" applyAlignment="1">
      <alignment horizontal="right" vertical="top" wrapText="1"/>
    </xf>
    <xf numFmtId="170" fontId="32" fillId="5" borderId="7" xfId="14" applyNumberFormat="1" applyFont="1" applyFill="1" applyBorder="1" applyAlignment="1">
      <alignment horizontal="right" vertical="center" wrapText="1"/>
    </xf>
    <xf numFmtId="170" fontId="32" fillId="4" borderId="7" xfId="14" applyNumberFormat="1" applyFont="1" applyFill="1" applyBorder="1" applyAlignment="1">
      <alignment horizontal="right" vertical="center" wrapText="1"/>
    </xf>
    <xf numFmtId="170" fontId="32" fillId="5" borderId="8" xfId="14" applyNumberFormat="1" applyFont="1" applyFill="1" applyBorder="1" applyAlignment="1">
      <alignment horizontal="right" vertical="center" wrapText="1"/>
    </xf>
    <xf numFmtId="170" fontId="32" fillId="4" borderId="8" xfId="14" applyNumberFormat="1" applyFont="1" applyFill="1" applyBorder="1" applyAlignment="1">
      <alignment horizontal="right" vertical="center" wrapText="1"/>
    </xf>
    <xf numFmtId="172" fontId="32" fillId="5" borderId="8" xfId="14" applyNumberFormat="1" applyFont="1" applyFill="1" applyBorder="1" applyAlignment="1">
      <alignment horizontal="right" vertical="center" wrapText="1"/>
    </xf>
    <xf numFmtId="172" fontId="32" fillId="4" borderId="8" xfId="14" applyNumberFormat="1" applyFont="1" applyFill="1" applyBorder="1" applyAlignment="1">
      <alignment horizontal="right" vertical="center" wrapText="1"/>
    </xf>
    <xf numFmtId="0" fontId="9" fillId="4" borderId="8" xfId="0" applyFont="1" applyFill="1" applyBorder="1" applyAlignment="1">
      <alignment horizontal="right" vertical="center" wrapText="1"/>
    </xf>
    <xf numFmtId="171" fontId="32" fillId="5" borderId="8" xfId="14" applyNumberFormat="1" applyFont="1" applyFill="1" applyBorder="1" applyAlignment="1">
      <alignment horizontal="right" vertical="center" wrapText="1"/>
    </xf>
    <xf numFmtId="171" fontId="32" fillId="4" borderId="8" xfId="14" applyNumberFormat="1" applyFont="1" applyFill="1" applyBorder="1" applyAlignment="1">
      <alignment horizontal="right" vertical="center" wrapText="1"/>
    </xf>
    <xf numFmtId="170" fontId="37" fillId="4" borderId="7"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center" wrapText="1"/>
    </xf>
    <xf numFmtId="170" fontId="37" fillId="4" borderId="8"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center" wrapText="1"/>
    </xf>
    <xf numFmtId="170" fontId="32" fillId="5" borderId="10" xfId="14" applyNumberFormat="1" applyFont="1" applyFill="1" applyBorder="1" applyAlignment="1">
      <alignment horizontal="right" vertical="center" wrapText="1"/>
    </xf>
    <xf numFmtId="170" fontId="32" fillId="4" borderId="10" xfId="14" applyNumberFormat="1" applyFont="1" applyFill="1" applyBorder="1" applyAlignment="1">
      <alignment horizontal="right" vertical="center" wrapText="1"/>
    </xf>
    <xf numFmtId="170" fontId="37" fillId="4" borderId="10" xfId="14" applyNumberFormat="1" applyFont="1" applyFill="1" applyBorder="1" applyAlignment="1">
      <alignment horizontal="right" vertical="center" wrapText="1"/>
    </xf>
    <xf numFmtId="171" fontId="37" fillId="4" borderId="10" xfId="14" applyNumberFormat="1" applyFont="1" applyFill="1" applyBorder="1" applyAlignment="1">
      <alignment horizontal="right" vertical="center" wrapText="1"/>
    </xf>
    <xf numFmtId="170" fontId="36" fillId="5" borderId="11" xfId="14" applyNumberFormat="1" applyFont="1" applyFill="1" applyBorder="1" applyAlignment="1">
      <alignment horizontal="right" vertical="center" wrapText="1"/>
    </xf>
    <xf numFmtId="170" fontId="36" fillId="4" borderId="11" xfId="14" applyNumberFormat="1" applyFont="1" applyFill="1" applyBorder="1" applyAlignment="1">
      <alignment horizontal="right" vertical="center" wrapText="1"/>
    </xf>
    <xf numFmtId="170" fontId="48" fillId="4" borderId="11" xfId="14" applyNumberFormat="1" applyFont="1" applyFill="1" applyBorder="1" applyAlignment="1">
      <alignment horizontal="right" vertical="center" wrapText="1"/>
    </xf>
    <xf numFmtId="171" fontId="48" fillId="4" borderId="11" xfId="14" applyNumberFormat="1" applyFont="1" applyFill="1" applyBorder="1" applyAlignment="1">
      <alignment horizontal="right" vertical="center" wrapText="1"/>
    </xf>
    <xf numFmtId="9" fontId="27" fillId="3" borderId="0" xfId="0" applyNumberFormat="1" applyFont="1" applyFill="1" applyAlignment="1">
      <alignment horizontal="right" vertical="center" wrapText="1"/>
    </xf>
    <xf numFmtId="170" fontId="36" fillId="5" borderId="7" xfId="14" applyNumberFormat="1" applyFont="1" applyFill="1" applyBorder="1" applyAlignment="1">
      <alignment horizontal="right" vertical="center" wrapText="1"/>
    </xf>
    <xf numFmtId="170" fontId="36" fillId="4" borderId="7" xfId="14" applyNumberFormat="1" applyFont="1" applyFill="1" applyBorder="1" applyAlignment="1">
      <alignment horizontal="right" vertical="center" wrapText="1"/>
    </xf>
    <xf numFmtId="170" fontId="48" fillId="4" borderId="7" xfId="14" applyNumberFormat="1" applyFont="1" applyFill="1" applyBorder="1" applyAlignment="1">
      <alignment horizontal="right" vertical="center" wrapText="1"/>
    </xf>
    <xf numFmtId="171" fontId="48" fillId="4" borderId="7" xfId="14" applyNumberFormat="1" applyFont="1" applyFill="1" applyBorder="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169" fontId="32" fillId="5" borderId="8" xfId="1" applyNumberFormat="1" applyFont="1" applyFill="1" applyBorder="1" applyAlignment="1">
      <alignment horizontal="right" vertical="center" wrapText="1"/>
    </xf>
    <xf numFmtId="169" fontId="32" fillId="4" borderId="8" xfId="1" applyNumberFormat="1" applyFont="1" applyFill="1" applyBorder="1" applyAlignment="1">
      <alignment horizontal="right" vertical="center" wrapText="1"/>
    </xf>
    <xf numFmtId="169" fontId="37" fillId="4" borderId="8" xfId="1" applyNumberFormat="1" applyFont="1" applyFill="1" applyBorder="1" applyAlignment="1">
      <alignment horizontal="right" vertical="center" wrapText="1"/>
    </xf>
    <xf numFmtId="170" fontId="32" fillId="5" borderId="11" xfId="14" applyNumberFormat="1" applyFont="1" applyFill="1" applyBorder="1" applyAlignment="1">
      <alignment horizontal="right" vertical="center" wrapText="1"/>
    </xf>
    <xf numFmtId="170" fontId="32" fillId="4" borderId="11" xfId="14" applyNumberFormat="1" applyFont="1" applyFill="1" applyBorder="1" applyAlignment="1">
      <alignment horizontal="right" vertical="center" wrapText="1"/>
    </xf>
    <xf numFmtId="170" fontId="37" fillId="4" borderId="11" xfId="14" applyNumberFormat="1" applyFont="1" applyFill="1" applyBorder="1" applyAlignment="1">
      <alignment horizontal="right" vertical="center" wrapText="1"/>
    </xf>
    <xf numFmtId="171" fontId="37" fillId="4" borderId="11" xfId="14" applyNumberFormat="1" applyFont="1" applyFill="1" applyBorder="1" applyAlignment="1">
      <alignment horizontal="right" vertical="center" wrapText="1"/>
    </xf>
    <xf numFmtId="170" fontId="36" fillId="5" borderId="14" xfId="14" applyNumberFormat="1" applyFont="1" applyFill="1" applyBorder="1" applyAlignment="1">
      <alignment horizontal="right" vertical="center" wrapText="1"/>
    </xf>
    <xf numFmtId="170" fontId="36" fillId="4" borderId="14" xfId="14" applyNumberFormat="1" applyFont="1" applyFill="1" applyBorder="1" applyAlignment="1">
      <alignment horizontal="right" vertical="center" wrapText="1"/>
    </xf>
    <xf numFmtId="170" fontId="48" fillId="4" borderId="14" xfId="14" applyNumberFormat="1" applyFont="1" applyFill="1" applyBorder="1" applyAlignment="1">
      <alignment horizontal="right" vertical="center" wrapText="1"/>
    </xf>
    <xf numFmtId="171" fontId="48" fillId="4" borderId="14" xfId="14" applyNumberFormat="1" applyFont="1" applyFill="1" applyBorder="1" applyAlignment="1">
      <alignment horizontal="right" vertical="center" wrapText="1"/>
    </xf>
    <xf numFmtId="172" fontId="32" fillId="5" borderId="7" xfId="14" applyNumberFormat="1" applyFont="1" applyFill="1" applyBorder="1" applyAlignment="1">
      <alignment horizontal="right" vertical="center" wrapText="1"/>
    </xf>
    <xf numFmtId="172" fontId="32" fillId="4" borderId="7" xfId="14" applyNumberFormat="1" applyFont="1" applyFill="1" applyBorder="1" applyAlignment="1">
      <alignment horizontal="right" vertical="center" wrapText="1"/>
    </xf>
    <xf numFmtId="172" fontId="37" fillId="4" borderId="7" xfId="14" applyNumberFormat="1" applyFont="1" applyFill="1" applyBorder="1" applyAlignment="1">
      <alignment horizontal="right" vertical="center" wrapText="1"/>
    </xf>
    <xf numFmtId="0" fontId="25" fillId="2" borderId="0" xfId="0" applyFont="1" applyFill="1" applyAlignment="1">
      <alignment horizontal="center" vertical="center" wrapText="1"/>
    </xf>
    <xf numFmtId="0" fontId="40" fillId="0" borderId="0" xfId="0" applyFont="1" applyFill="1" applyBorder="1" applyAlignment="1"/>
    <xf numFmtId="0" fontId="40" fillId="0" borderId="16" xfId="0" applyFont="1" applyBorder="1" applyAlignment="1"/>
    <xf numFmtId="0" fontId="40" fillId="0" borderId="1" xfId="0" applyFont="1" applyBorder="1" applyAlignment="1"/>
    <xf numFmtId="0" fontId="40" fillId="2" borderId="1" xfId="0" applyFont="1" applyFill="1" applyBorder="1" applyAlignment="1"/>
    <xf numFmtId="174" fontId="32" fillId="4" borderId="18" xfId="14" applyNumberFormat="1" applyFont="1" applyFill="1" applyBorder="1" applyAlignment="1">
      <alignment horizontal="right" vertical="center"/>
    </xf>
    <xf numFmtId="169" fontId="36" fillId="5" borderId="7" xfId="1" applyNumberFormat="1" applyFont="1" applyFill="1" applyBorder="1" applyAlignment="1">
      <alignment horizontal="right" vertical="center"/>
    </xf>
    <xf numFmtId="169" fontId="36" fillId="4" borderId="7" xfId="1" applyNumberFormat="1" applyFont="1" applyFill="1" applyBorder="1" applyAlignment="1">
      <alignment horizontal="right" vertical="center"/>
    </xf>
    <xf numFmtId="0" fontId="40" fillId="0" borderId="0" xfId="0" applyFont="1" applyFill="1"/>
    <xf numFmtId="0" fontId="24" fillId="0" borderId="0" xfId="0" applyFont="1" applyFill="1"/>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178" fontId="9" fillId="9" borderId="22" xfId="0" applyNumberFormat="1" applyFont="1" applyFill="1" applyBorder="1" applyAlignment="1">
      <alignment horizontal="center" vertical="center"/>
    </xf>
    <xf numFmtId="3" fontId="9" fillId="8" borderId="22" xfId="0" applyNumberFormat="1" applyFont="1" applyFill="1" applyBorder="1" applyAlignment="1">
      <alignment horizontal="center" vertical="center"/>
    </xf>
    <xf numFmtId="178"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0" fontId="9" fillId="9" borderId="22" xfId="0"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5" fontId="9" fillId="8" borderId="22" xfId="0" applyNumberFormat="1" applyFont="1" applyFill="1" applyBorder="1" applyAlignment="1">
      <alignment horizontal="center" vertical="center"/>
    </xf>
    <xf numFmtId="165"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79" fontId="9" fillId="8" borderId="22" xfId="14" applyNumberFormat="1" applyFont="1" applyFill="1" applyBorder="1" applyAlignment="1">
      <alignment horizontal="center"/>
    </xf>
    <xf numFmtId="37" fontId="9" fillId="8" borderId="22" xfId="14" applyNumberFormat="1" applyFont="1" applyFill="1" applyBorder="1" applyAlignment="1">
      <alignment horizontal="center"/>
    </xf>
    <xf numFmtId="165" fontId="12" fillId="8" borderId="22" xfId="0" applyNumberFormat="1" applyFont="1" applyFill="1" applyBorder="1" applyAlignment="1">
      <alignment horizontal="center" vertical="center"/>
    </xf>
    <xf numFmtId="179"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6" fontId="9" fillId="8" borderId="22" xfId="14" applyNumberFormat="1" applyFont="1" applyFill="1" applyBorder="1" applyAlignment="1">
      <alignment horizontal="center"/>
    </xf>
    <xf numFmtId="180" fontId="9" fillId="8" borderId="22" xfId="14" applyNumberFormat="1" applyFont="1" applyFill="1" applyBorder="1" applyAlignment="1">
      <alignment horizontal="center"/>
    </xf>
    <xf numFmtId="166" fontId="53" fillId="8" borderId="22" xfId="14" applyNumberFormat="1" applyFont="1" applyFill="1" applyBorder="1" applyAlignment="1">
      <alignment horizontal="center" vertical="center"/>
    </xf>
    <xf numFmtId="0" fontId="9" fillId="8" borderId="1" xfId="0"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6" fontId="9" fillId="9" borderId="22" xfId="14" applyNumberFormat="1" applyFont="1" applyFill="1" applyBorder="1" applyAlignment="1">
      <alignment horizontal="center"/>
    </xf>
    <xf numFmtId="180" fontId="9" fillId="9" borderId="22" xfId="14" applyNumberFormat="1" applyFont="1" applyFill="1" applyBorder="1" applyAlignment="1">
      <alignment horizontal="center"/>
    </xf>
    <xf numFmtId="166" fontId="9" fillId="8" borderId="1" xfId="14" applyNumberFormat="1" applyFont="1" applyFill="1" applyBorder="1" applyAlignment="1">
      <alignment vertical="center"/>
    </xf>
    <xf numFmtId="166" fontId="9" fillId="8" borderId="22" xfId="14" applyNumberFormat="1" applyFont="1" applyFill="1" applyBorder="1" applyAlignment="1">
      <alignment horizontal="center" vertical="center"/>
    </xf>
    <xf numFmtId="0" fontId="12" fillId="8" borderId="22" xfId="14" applyNumberFormat="1" applyFont="1" applyFill="1" applyBorder="1" applyAlignment="1">
      <alignment horizontal="center"/>
    </xf>
    <xf numFmtId="166" fontId="12" fillId="8" borderId="22" xfId="14" applyNumberFormat="1" applyFont="1" applyFill="1" applyBorder="1" applyAlignment="1">
      <alignment horizontal="center"/>
    </xf>
    <xf numFmtId="166" fontId="12" fillId="9" borderId="22" xfId="14" applyNumberFormat="1" applyFont="1" applyFill="1" applyBorder="1" applyAlignment="1">
      <alignment horizontal="center"/>
    </xf>
    <xf numFmtId="166" fontId="12" fillId="8" borderId="22" xfId="14" applyNumberFormat="1" applyFont="1" applyFill="1" applyBorder="1" applyAlignment="1">
      <alignment horizontal="center" vertical="center"/>
    </xf>
    <xf numFmtId="180" fontId="12" fillId="9" borderId="22" xfId="14" applyNumberFormat="1" applyFont="1" applyFill="1" applyBorder="1" applyAlignment="1">
      <alignment horizontal="center"/>
    </xf>
    <xf numFmtId="0" fontId="50" fillId="0" borderId="0" xfId="0" applyFont="1" applyAlignment="1">
      <alignment wrapText="1"/>
    </xf>
    <xf numFmtId="0" fontId="9" fillId="8" borderId="30" xfId="0" applyFont="1" applyFill="1" applyBorder="1" applyAlignment="1">
      <alignment horizontal="center" vertical="center"/>
    </xf>
    <xf numFmtId="166"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69" fontId="9" fillId="8" borderId="22" xfId="1" applyNumberFormat="1" applyFont="1" applyFill="1" applyBorder="1" applyAlignment="1">
      <alignment horizontal="center" vertical="center"/>
    </xf>
    <xf numFmtId="168"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43"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169" fontId="12" fillId="8" borderId="22" xfId="1" applyNumberFormat="1" applyFont="1" applyFill="1" applyBorder="1" applyAlignment="1">
      <alignment horizontal="center" vertic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62" fillId="0" borderId="0" xfId="0" applyFont="1" applyAlignment="1">
      <alignment vertical="center"/>
    </xf>
    <xf numFmtId="4" fontId="59" fillId="2" borderId="0" xfId="0" applyNumberFormat="1"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79" fontId="9" fillId="8" borderId="22" xfId="14" applyNumberFormat="1" applyFont="1" applyFill="1" applyBorder="1" applyAlignment="1">
      <alignment horizontal="center" vertical="center"/>
    </xf>
    <xf numFmtId="179" fontId="9" fillId="2" borderId="0" xfId="14" applyNumberFormat="1" applyFont="1" applyFill="1" applyBorder="1" applyAlignment="1">
      <alignment horizontal="center" vertical="center"/>
    </xf>
    <xf numFmtId="179" fontId="9" fillId="10" borderId="22" xfId="14" applyNumberFormat="1" applyFont="1" applyFill="1" applyBorder="1" applyAlignment="1">
      <alignment horizontal="center" vertical="center"/>
    </xf>
    <xf numFmtId="179" fontId="9" fillId="8" borderId="22" xfId="14" applyNumberFormat="1" applyFont="1" applyFill="1" applyBorder="1" applyAlignment="1">
      <alignment horizontal="right" vertical="center"/>
    </xf>
    <xf numFmtId="179" fontId="9" fillId="2" borderId="0" xfId="14" applyNumberFormat="1" applyFont="1" applyFill="1" applyBorder="1" applyAlignment="1">
      <alignment horizontal="right" vertical="center"/>
    </xf>
    <xf numFmtId="179" fontId="9" fillId="10" borderId="22"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79" fontId="12" fillId="8" borderId="32" xfId="14" applyNumberFormat="1" applyFont="1" applyFill="1" applyBorder="1" applyAlignment="1">
      <alignment horizontal="right" vertical="center"/>
    </xf>
    <xf numFmtId="179" fontId="12" fillId="2" borderId="0" xfId="14" applyNumberFormat="1" applyFont="1" applyFill="1" applyBorder="1" applyAlignment="1">
      <alignment horizontal="right" vertical="center"/>
    </xf>
    <xf numFmtId="179" fontId="12" fillId="10" borderId="32"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79" fontId="9" fillId="8" borderId="30" xfId="14" applyNumberFormat="1" applyFont="1" applyFill="1" applyBorder="1" applyAlignment="1">
      <alignment horizontal="right" vertical="center"/>
    </xf>
    <xf numFmtId="179" fontId="9" fillId="10" borderId="30" xfId="14" applyNumberFormat="1" applyFont="1" applyFill="1" applyBorder="1" applyAlignment="1">
      <alignment horizontal="right" vertical="center"/>
    </xf>
    <xf numFmtId="9" fontId="9" fillId="8" borderId="22" xfId="1" applyFont="1" applyFill="1" applyBorder="1" applyAlignment="1">
      <alignment horizontal="right" vertical="center"/>
    </xf>
    <xf numFmtId="9" fontId="9" fillId="2" borderId="0" xfId="1" applyFont="1" applyFill="1" applyBorder="1" applyAlignment="1">
      <alignment horizontal="right" vertical="center"/>
    </xf>
    <xf numFmtId="9" fontId="9" fillId="10" borderId="22" xfId="0" applyNumberFormat="1" applyFont="1" applyFill="1" applyBorder="1" applyAlignment="1">
      <alignment horizontal="right" vertical="center"/>
    </xf>
    <xf numFmtId="9" fontId="9" fillId="8" borderId="22" xfId="0" applyNumberFormat="1" applyFont="1" applyFill="1" applyBorder="1" applyAlignment="1">
      <alignment horizontal="right" vertical="center"/>
    </xf>
    <xf numFmtId="9" fontId="12" fillId="8" borderId="32" xfId="1" applyFont="1" applyFill="1" applyBorder="1" applyAlignment="1">
      <alignment horizontal="right" vertical="center"/>
    </xf>
    <xf numFmtId="0" fontId="12" fillId="2" borderId="0" xfId="1" applyNumberFormat="1" applyFont="1" applyFill="1" applyBorder="1" applyAlignment="1">
      <alignment horizontal="right" vertical="center"/>
    </xf>
    <xf numFmtId="9" fontId="12" fillId="10" borderId="32" xfId="0" applyNumberFormat="1" applyFont="1" applyFill="1" applyBorder="1" applyAlignment="1">
      <alignment horizontal="right" vertical="center"/>
    </xf>
    <xf numFmtId="9" fontId="12" fillId="8" borderId="32" xfId="0" applyNumberFormat="1" applyFont="1" applyFill="1" applyBorder="1" applyAlignment="1">
      <alignment horizontal="right" vertical="center"/>
    </xf>
    <xf numFmtId="0" fontId="25" fillId="0" borderId="0" xfId="0" applyFont="1" applyAlignment="1">
      <alignment horizontal="right"/>
    </xf>
    <xf numFmtId="0" fontId="51" fillId="2" borderId="0" xfId="0" applyFont="1" applyFill="1" applyAlignment="1">
      <alignment wrapText="1"/>
    </xf>
    <xf numFmtId="1" fontId="9" fillId="8" borderId="22" xfId="0" applyNumberFormat="1" applyFont="1" applyFill="1" applyBorder="1" applyAlignment="1">
      <alignment horizontal="right"/>
    </xf>
    <xf numFmtId="1" fontId="9" fillId="2" borderId="0" xfId="0" applyNumberFormat="1" applyFont="1" applyFill="1" applyAlignment="1">
      <alignment horizontal="right"/>
    </xf>
    <xf numFmtId="179" fontId="9" fillId="10" borderId="22" xfId="14" applyNumberFormat="1" applyFont="1" applyFill="1" applyBorder="1" applyAlignment="1">
      <alignment horizontal="right"/>
    </xf>
    <xf numFmtId="179" fontId="9" fillId="8" borderId="22" xfId="14" applyNumberFormat="1" applyFont="1" applyFill="1" applyBorder="1" applyAlignment="1">
      <alignment horizontal="right"/>
    </xf>
    <xf numFmtId="179" fontId="12" fillId="8" borderId="32" xfId="14" applyNumberFormat="1" applyFont="1" applyFill="1" applyBorder="1" applyAlignment="1"/>
    <xf numFmtId="1" fontId="12" fillId="8" borderId="32" xfId="0" applyNumberFormat="1" applyFont="1" applyFill="1" applyBorder="1" applyAlignment="1">
      <alignment horizontal="right"/>
    </xf>
    <xf numFmtId="179" fontId="12" fillId="2" borderId="0" xfId="14" applyNumberFormat="1" applyFont="1" applyFill="1" applyAlignment="1">
      <alignment horizontal="right"/>
    </xf>
    <xf numFmtId="179" fontId="12" fillId="10" borderId="32" xfId="14" applyNumberFormat="1" applyFont="1" applyFill="1" applyBorder="1" applyAlignment="1">
      <alignment horizontal="right"/>
    </xf>
    <xf numFmtId="179" fontId="12" fillId="8" borderId="32" xfId="14" applyNumberFormat="1" applyFont="1" applyFill="1" applyBorder="1" applyAlignment="1">
      <alignment horizontal="right"/>
    </xf>
    <xf numFmtId="179" fontId="9" fillId="8" borderId="30" xfId="14" applyNumberFormat="1" applyFont="1" applyFill="1" applyBorder="1" applyAlignment="1">
      <alignment horizontal="right"/>
    </xf>
    <xf numFmtId="179" fontId="9" fillId="2" borderId="0" xfId="14" applyNumberFormat="1" applyFont="1" applyFill="1" applyAlignment="1">
      <alignment horizontal="right"/>
    </xf>
    <xf numFmtId="179" fontId="9" fillId="10" borderId="30" xfId="14" applyNumberFormat="1" applyFont="1" applyFill="1" applyBorder="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10" borderId="22" xfId="0" applyNumberFormat="1" applyFont="1" applyFill="1" applyBorder="1" applyAlignment="1">
      <alignment horizontal="right"/>
    </xf>
    <xf numFmtId="9" fontId="9" fillId="8" borderId="22" xfId="0" applyNumberFormat="1" applyFont="1" applyFill="1" applyBorder="1" applyAlignment="1">
      <alignment horizontal="right"/>
    </xf>
    <xf numFmtId="9" fontId="12" fillId="8" borderId="32" xfId="1" applyFont="1" applyFill="1" applyBorder="1" applyAlignment="1">
      <alignment horizontal="right"/>
    </xf>
    <xf numFmtId="9" fontId="12" fillId="2" borderId="0" xfId="1" applyFont="1" applyFill="1" applyAlignment="1">
      <alignment horizontal="right"/>
    </xf>
    <xf numFmtId="9" fontId="12" fillId="10" borderId="32" xfId="1" applyFont="1" applyFill="1" applyBorder="1" applyAlignment="1">
      <alignment horizontal="right"/>
    </xf>
    <xf numFmtId="181" fontId="9" fillId="8" borderId="22" xfId="14" applyNumberFormat="1" applyFont="1" applyFill="1" applyBorder="1" applyAlignment="1">
      <alignment horizontal="right"/>
    </xf>
    <xf numFmtId="165" fontId="9" fillId="8" borderId="22" xfId="0" applyNumberFormat="1" applyFont="1" applyFill="1" applyBorder="1" applyAlignment="1">
      <alignment horizontal="right"/>
    </xf>
    <xf numFmtId="181" fontId="9" fillId="2" borderId="0" xfId="14" applyNumberFormat="1" applyFont="1" applyFill="1" applyAlignment="1">
      <alignment horizontal="right"/>
    </xf>
    <xf numFmtId="181" fontId="9" fillId="10" borderId="22" xfId="14" applyNumberFormat="1" applyFont="1" applyFill="1" applyBorder="1" applyAlignment="1">
      <alignment horizontal="right"/>
    </xf>
    <xf numFmtId="181" fontId="12" fillId="8" borderId="32" xfId="14" applyNumberFormat="1" applyFont="1" applyFill="1" applyBorder="1" applyAlignment="1">
      <alignment horizontal="right"/>
    </xf>
    <xf numFmtId="165" fontId="12" fillId="8" borderId="32" xfId="0" applyNumberFormat="1" applyFont="1" applyFill="1" applyBorder="1" applyAlignment="1">
      <alignment horizontal="right"/>
    </xf>
    <xf numFmtId="181" fontId="12" fillId="2" borderId="0" xfId="14" applyNumberFormat="1" applyFont="1" applyFill="1" applyAlignment="1">
      <alignment horizontal="right"/>
    </xf>
    <xf numFmtId="181" fontId="12" fillId="10" borderId="32" xfId="14" applyNumberFormat="1" applyFont="1" applyFill="1" applyBorder="1" applyAlignment="1">
      <alignment horizontal="right"/>
    </xf>
    <xf numFmtId="165" fontId="9" fillId="2" borderId="0" xfId="0" applyNumberFormat="1" applyFont="1" applyFill="1" applyAlignment="1">
      <alignment horizontal="right"/>
    </xf>
    <xf numFmtId="181" fontId="9" fillId="8" borderId="32" xfId="14" applyNumberFormat="1" applyFont="1" applyFill="1" applyBorder="1" applyAlignment="1">
      <alignment horizontal="right"/>
    </xf>
    <xf numFmtId="181" fontId="9" fillId="10" borderId="32" xfId="14" applyNumberFormat="1" applyFont="1" applyFill="1" applyBorder="1" applyAlignment="1">
      <alignment horizontal="right"/>
    </xf>
    <xf numFmtId="179" fontId="12" fillId="8" borderId="30" xfId="14" applyNumberFormat="1" applyFont="1" applyFill="1" applyBorder="1" applyAlignment="1">
      <alignment horizontal="right"/>
    </xf>
    <xf numFmtId="0" fontId="25" fillId="2" borderId="0" xfId="0" applyFont="1" applyFill="1" applyAlignment="1">
      <alignment horizontal="right"/>
    </xf>
    <xf numFmtId="179" fontId="12" fillId="10" borderId="30" xfId="14" applyNumberFormat="1" applyFont="1" applyFill="1" applyBorder="1" applyAlignment="1">
      <alignment horizontal="right"/>
    </xf>
    <xf numFmtId="0" fontId="9" fillId="8" borderId="32" xfId="0" applyFont="1" applyFill="1" applyBorder="1" applyAlignment="1">
      <alignment horizontal="left" vertical="center" indent="2"/>
    </xf>
    <xf numFmtId="165" fontId="9" fillId="8" borderId="32" xfId="0" applyNumberFormat="1" applyFont="1" applyFill="1" applyBorder="1" applyAlignment="1">
      <alignment horizontal="right"/>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4" fillId="0" borderId="0" xfId="2" applyFont="1" applyAlignment="1">
      <alignment vertical="center"/>
    </xf>
    <xf numFmtId="181" fontId="25" fillId="0" borderId="0" xfId="0" applyNumberFormat="1" applyFont="1"/>
    <xf numFmtId="0" fontId="9" fillId="0" borderId="0" xfId="0" applyFont="1" applyAlignment="1">
      <alignment vertical="center"/>
    </xf>
    <xf numFmtId="179"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79" fontId="12" fillId="10" borderId="22" xfId="14" applyNumberFormat="1" applyFont="1" applyFill="1" applyBorder="1" applyAlignment="1">
      <alignment horizontal="right" vertical="center"/>
    </xf>
    <xf numFmtId="0" fontId="9" fillId="8" borderId="22" xfId="0" applyFont="1" applyFill="1" applyBorder="1" applyAlignment="1">
      <alignment horizontal="right" vertical="center" indent="3"/>
    </xf>
    <xf numFmtId="179" fontId="9" fillId="2" borderId="0" xfId="14" applyNumberFormat="1" applyFont="1" applyFill="1" applyBorder="1" applyAlignment="1">
      <alignment horizontal="right"/>
    </xf>
    <xf numFmtId="179" fontId="9" fillId="8" borderId="1" xfId="14" applyNumberFormat="1" applyFont="1" applyFill="1" applyBorder="1" applyAlignment="1">
      <alignment horizontal="right" vertical="center"/>
    </xf>
    <xf numFmtId="179" fontId="9" fillId="8" borderId="1" xfId="14" applyNumberFormat="1" applyFont="1" applyFill="1" applyBorder="1" applyAlignment="1">
      <alignment horizontal="right"/>
    </xf>
    <xf numFmtId="0" fontId="9" fillId="8" borderId="1" xfId="0" applyFont="1" applyFill="1" applyBorder="1" applyAlignment="1">
      <alignment horizontal="right" vertical="center" indent="3"/>
    </xf>
    <xf numFmtId="179" fontId="9" fillId="10" borderId="1" xfId="14" applyNumberFormat="1" applyFont="1" applyFill="1" applyBorder="1" applyAlignment="1">
      <alignment horizontal="right" vertical="center"/>
    </xf>
    <xf numFmtId="0" fontId="9" fillId="8" borderId="32" xfId="0" applyFont="1" applyFill="1" applyBorder="1" applyAlignment="1">
      <alignment horizontal="right" vertical="center" indent="1"/>
    </xf>
    <xf numFmtId="179"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79" fontId="12" fillId="10" borderId="30" xfId="14" applyNumberFormat="1" applyFont="1" applyFill="1" applyBorder="1" applyAlignment="1">
      <alignment horizontal="right" vertical="center"/>
    </xf>
    <xf numFmtId="181" fontId="9" fillId="8" borderId="22" xfId="14" applyNumberFormat="1" applyFont="1" applyFill="1" applyBorder="1" applyAlignment="1">
      <alignment horizontal="right" vertical="center"/>
    </xf>
    <xf numFmtId="181" fontId="9" fillId="10" borderId="22" xfId="14" applyNumberFormat="1" applyFont="1" applyFill="1" applyBorder="1" applyAlignment="1">
      <alignment horizontal="right" vertical="center"/>
    </xf>
    <xf numFmtId="181" fontId="9" fillId="8" borderId="1" xfId="14" applyNumberFormat="1" applyFont="1" applyFill="1" applyBorder="1" applyAlignment="1">
      <alignment horizontal="right" vertical="center"/>
    </xf>
    <xf numFmtId="181" fontId="9" fillId="10" borderId="1" xfId="14" applyNumberFormat="1" applyFont="1" applyFill="1" applyBorder="1" applyAlignment="1">
      <alignment horizontal="right" vertical="center"/>
    </xf>
    <xf numFmtId="181" fontId="12" fillId="8" borderId="32" xfId="14" applyNumberFormat="1" applyFont="1" applyFill="1" applyBorder="1" applyAlignment="1">
      <alignment horizontal="right" vertical="center"/>
    </xf>
    <xf numFmtId="181" fontId="12" fillId="10" borderId="32" xfId="14" applyNumberFormat="1" applyFont="1" applyFill="1" applyBorder="1" applyAlignment="1">
      <alignment horizontal="right" vertical="center"/>
    </xf>
    <xf numFmtId="179" fontId="25" fillId="0" borderId="0" xfId="14" applyNumberFormat="1" applyFont="1"/>
    <xf numFmtId="0" fontId="30" fillId="0" borderId="0" xfId="0" applyFont="1"/>
    <xf numFmtId="0" fontId="12" fillId="8" borderId="22" xfId="0" applyFont="1" applyFill="1" applyBorder="1" applyAlignment="1">
      <alignment horizontal="right" vertical="center"/>
    </xf>
    <xf numFmtId="181" fontId="9" fillId="8" borderId="32" xfId="14" applyNumberFormat="1" applyFont="1" applyFill="1" applyBorder="1" applyAlignment="1">
      <alignment horizontal="right" vertical="center"/>
    </xf>
    <xf numFmtId="181" fontId="9" fillId="2" borderId="0" xfId="14" applyNumberFormat="1" applyFont="1" applyFill="1" applyBorder="1" applyAlignment="1">
      <alignment horizontal="right" vertical="center"/>
    </xf>
    <xf numFmtId="181" fontId="9" fillId="10" borderId="32" xfId="14" applyNumberFormat="1" applyFont="1" applyFill="1" applyBorder="1" applyAlignment="1">
      <alignment horizontal="right" vertical="center"/>
    </xf>
    <xf numFmtId="181" fontId="30" fillId="0" borderId="0" xfId="0" applyNumberFormat="1" applyFont="1"/>
    <xf numFmtId="169" fontId="9" fillId="8" borderId="32" xfId="1" applyNumberFormat="1" applyFont="1" applyFill="1" applyBorder="1" applyAlignment="1">
      <alignment horizontal="right" vertical="center"/>
    </xf>
    <xf numFmtId="169" fontId="12" fillId="8" borderId="32" xfId="1" applyNumberFormat="1" applyFont="1" applyFill="1" applyBorder="1" applyAlignment="1">
      <alignment horizontal="right" vertical="center"/>
    </xf>
    <xf numFmtId="169" fontId="9" fillId="2" borderId="0" xfId="1" applyNumberFormat="1" applyFont="1" applyFill="1" applyBorder="1" applyAlignment="1">
      <alignment horizontal="right" vertical="center"/>
    </xf>
    <xf numFmtId="169" fontId="9" fillId="10" borderId="32" xfId="1" applyNumberFormat="1" applyFont="1" applyFill="1" applyBorder="1" applyAlignment="1">
      <alignment horizontal="right" vertical="center"/>
    </xf>
    <xf numFmtId="182" fontId="30" fillId="0" borderId="0" xfId="0" applyNumberFormat="1" applyFont="1"/>
    <xf numFmtId="0" fontId="12" fillId="8" borderId="30" xfId="0" applyFont="1" applyFill="1" applyBorder="1" applyAlignment="1">
      <alignment horizontal="right" vertical="center"/>
    </xf>
    <xf numFmtId="181"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79" fontId="9" fillId="10" borderId="32" xfId="14" applyNumberFormat="1" applyFont="1" applyFill="1" applyBorder="1" applyAlignment="1">
      <alignment horizontal="right" vertical="center"/>
    </xf>
    <xf numFmtId="179" fontId="9" fillId="8" borderId="32" xfId="14" applyNumberFormat="1" applyFont="1" applyFill="1" applyBorder="1" applyAlignment="1">
      <alignment horizontal="right" vertical="center"/>
    </xf>
    <xf numFmtId="0" fontId="11" fillId="6" borderId="21" xfId="0" applyFont="1" applyFill="1" applyBorder="1" applyAlignment="1">
      <alignment horizontal="left" vertical="center"/>
    </xf>
    <xf numFmtId="0" fontId="11" fillId="6" borderId="21" xfId="0" applyFont="1" applyFill="1" applyBorder="1" applyAlignment="1">
      <alignment horizontal="center"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181" fontId="53" fillId="8" borderId="22" xfId="14" applyNumberFormat="1" applyFont="1" applyFill="1" applyBorder="1" applyAlignment="1">
      <alignment horizontal="right" vertical="center"/>
    </xf>
    <xf numFmtId="0" fontId="13" fillId="0" borderId="1" xfId="0" applyFont="1" applyBorder="1" applyAlignment="1">
      <alignment horizontal="left" indent="1"/>
    </xf>
    <xf numFmtId="0" fontId="13" fillId="0" borderId="0" xfId="0" applyFont="1" applyAlignment="1">
      <alignment horizontal="left" indent="1"/>
    </xf>
    <xf numFmtId="0" fontId="65" fillId="0" borderId="0" xfId="2" applyFont="1" applyBorder="1" applyAlignment="1">
      <alignment vertical="center"/>
    </xf>
    <xf numFmtId="0" fontId="55" fillId="0" borderId="0" xfId="0" applyFont="1" applyAlignment="1">
      <alignment horizontal="left" vertical="center" indent="1"/>
    </xf>
    <xf numFmtId="0" fontId="51" fillId="2" borderId="0" xfId="0" applyFont="1" applyFill="1" applyAlignment="1"/>
    <xf numFmtId="0" fontId="11" fillId="7" borderId="0" xfId="0" applyFont="1" applyFill="1" applyAlignment="1">
      <alignment horizontal="right" vertical="center"/>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47" fillId="0" borderId="0" xfId="0" applyFont="1" applyAlignment="1">
      <alignment horizontal="left" wrapText="1"/>
    </xf>
    <xf numFmtId="0" fontId="12" fillId="2" borderId="4" xfId="0" applyFont="1" applyFill="1" applyBorder="1" applyAlignment="1">
      <alignment horizontal="left" vertical="center"/>
    </xf>
    <xf numFmtId="0" fontId="47" fillId="4" borderId="0" xfId="0" applyFont="1" applyFill="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9" fillId="4" borderId="12" xfId="0" applyFont="1" applyFill="1" applyBorder="1" applyAlignment="1">
      <alignment horizontal="left" vertical="center" wrapText="1" indent="3"/>
    </xf>
    <xf numFmtId="0" fontId="40" fillId="0" borderId="33" xfId="0" applyFont="1" applyBorder="1" applyAlignment="1">
      <alignment horizontal="left" vertical="top" wrapText="1"/>
    </xf>
    <xf numFmtId="0" fontId="9" fillId="2" borderId="8" xfId="0" applyFont="1" applyFill="1" applyBorder="1" applyAlignment="1">
      <alignment horizontal="left" vertical="center" wrapText="1" indent="2"/>
    </xf>
    <xf numFmtId="186" fontId="9" fillId="8" borderId="32" xfId="14" applyNumberFormat="1" applyFont="1" applyFill="1" applyBorder="1" applyAlignment="1">
      <alignment horizontal="right"/>
    </xf>
    <xf numFmtId="187" fontId="9" fillId="8" borderId="32" xfId="14" applyNumberFormat="1" applyFont="1" applyFill="1" applyBorder="1" applyAlignment="1">
      <alignment horizontal="right"/>
    </xf>
    <xf numFmtId="0" fontId="9" fillId="8" borderId="34" xfId="0" applyFont="1" applyFill="1" applyBorder="1" applyAlignment="1">
      <alignment horizontal="left" vertical="center" indent="2"/>
    </xf>
    <xf numFmtId="179" fontId="12" fillId="8" borderId="30" xfId="14" applyNumberFormat="1" applyFont="1" applyFill="1" applyBorder="1" applyAlignment="1">
      <alignment horizontal="left" vertical="center" indent="1"/>
    </xf>
  </cellXfs>
  <cellStyles count="17">
    <cellStyle name="Comma" xfId="14" builtinId="3"/>
    <cellStyle name="Comma 2" xfId="11" xr:uid="{64962BE8-A8A9-4FE0-A1FB-576B06543050}"/>
    <cellStyle name="Comma 3" xfId="4" xr:uid="{8F2D29D4-D7C5-4A30-BEA9-A1B9C74BC5E0}"/>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3" xfId="10" xr:uid="{38E00EBF-F467-470A-B883-0502AD4AB14F}"/>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269">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321467</xdr:colOff>
      <xdr:row>4</xdr:row>
      <xdr:rowOff>142876</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467789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469322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10</xdr:row>
      <xdr:rowOff>19050</xdr:rowOff>
    </xdr:from>
    <xdr:to>
      <xdr:col>2</xdr:col>
      <xdr:colOff>708206</xdr:colOff>
      <xdr:row>10</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11</xdr:row>
      <xdr:rowOff>28575</xdr:rowOff>
    </xdr:from>
    <xdr:to>
      <xdr:col>2</xdr:col>
      <xdr:colOff>708206</xdr:colOff>
      <xdr:row>11</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12</xdr:row>
      <xdr:rowOff>9525</xdr:rowOff>
    </xdr:from>
    <xdr:to>
      <xdr:col>2</xdr:col>
      <xdr:colOff>705939</xdr:colOff>
      <xdr:row>12</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24</xdr:row>
      <xdr:rowOff>19050</xdr:rowOff>
    </xdr:from>
    <xdr:to>
      <xdr:col>2</xdr:col>
      <xdr:colOff>705939</xdr:colOff>
      <xdr:row>24</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9</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26</xdr:row>
      <xdr:rowOff>28575</xdr:rowOff>
    </xdr:from>
    <xdr:to>
      <xdr:col>2</xdr:col>
      <xdr:colOff>705939</xdr:colOff>
      <xdr:row>26</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27</xdr:row>
      <xdr:rowOff>19050</xdr:rowOff>
    </xdr:from>
    <xdr:to>
      <xdr:col>2</xdr:col>
      <xdr:colOff>710928</xdr:colOff>
      <xdr:row>27</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24</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24</xdr:row>
      <xdr:rowOff>0</xdr:rowOff>
    </xdr:from>
    <xdr:to>
      <xdr:col>2</xdr:col>
      <xdr:colOff>698319</xdr:colOff>
      <xdr:row>24</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23</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19</xdr:row>
      <xdr:rowOff>35718</xdr:rowOff>
    </xdr:from>
    <xdr:to>
      <xdr:col>2</xdr:col>
      <xdr:colOff>668048</xdr:colOff>
      <xdr:row>19</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19</xdr:row>
      <xdr:rowOff>501965</xdr:rowOff>
    </xdr:from>
    <xdr:to>
      <xdr:col>2</xdr:col>
      <xdr:colOff>630662</xdr:colOff>
      <xdr:row>20</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894052" y="9531665"/>
          <a:ext cx="280035" cy="399574"/>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20</xdr:row>
      <xdr:rowOff>466248</xdr:rowOff>
    </xdr:from>
    <xdr:to>
      <xdr:col>2</xdr:col>
      <xdr:colOff>682097</xdr:colOff>
      <xdr:row>21</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844522" y="10000773"/>
          <a:ext cx="381000" cy="399576"/>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22</xdr:row>
      <xdr:rowOff>0</xdr:rowOff>
    </xdr:from>
    <xdr:to>
      <xdr:col>2</xdr:col>
      <xdr:colOff>702100</xdr:colOff>
      <xdr:row>22</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822614" y="10544175"/>
          <a:ext cx="422911" cy="43053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14</xdr:row>
      <xdr:rowOff>35719</xdr:rowOff>
    </xdr:from>
    <xdr:to>
      <xdr:col>2</xdr:col>
      <xdr:colOff>668048</xdr:colOff>
      <xdr:row>14</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14</xdr:row>
      <xdr:rowOff>477676</xdr:rowOff>
    </xdr:from>
    <xdr:to>
      <xdr:col>2</xdr:col>
      <xdr:colOff>630662</xdr:colOff>
      <xdr:row>15</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894052" y="6983251"/>
          <a:ext cx="280035" cy="390049"/>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15</xdr:row>
      <xdr:rowOff>412432</xdr:rowOff>
    </xdr:from>
    <xdr:to>
      <xdr:col>2</xdr:col>
      <xdr:colOff>682097</xdr:colOff>
      <xdr:row>16</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844522" y="7422832"/>
          <a:ext cx="381000" cy="399576"/>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16</xdr:row>
      <xdr:rowOff>463868</xdr:rowOff>
    </xdr:from>
    <xdr:to>
      <xdr:col>2</xdr:col>
      <xdr:colOff>702100</xdr:colOff>
      <xdr:row>17</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822614" y="7979093"/>
          <a:ext cx="422911" cy="433387"/>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208</xdr:row>
      <xdr:rowOff>76200</xdr:rowOff>
    </xdr:from>
    <xdr:to>
      <xdr:col>0</xdr:col>
      <xdr:colOff>454306</xdr:colOff>
      <xdr:row>210</xdr:row>
      <xdr:rowOff>161528</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470511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09375" defaultRowHeight="15.9" customHeight="1"/>
  <cols>
    <col min="1" max="4" width="9.109375" style="1"/>
    <col min="5" max="5" width="9.109375" style="1" customWidth="1"/>
    <col min="6" max="16384" width="9.109375" style="1"/>
  </cols>
  <sheetData>
    <row r="6" spans="2:10" ht="15.9" customHeight="1">
      <c r="B6" s="48"/>
      <c r="C6" s="603" t="s">
        <v>401</v>
      </c>
      <c r="D6" s="603"/>
      <c r="E6" s="603"/>
      <c r="F6" s="603"/>
      <c r="G6" s="603"/>
      <c r="H6" s="603"/>
      <c r="I6" s="48"/>
    </row>
    <row r="7" spans="2:10" ht="15.9" customHeight="1">
      <c r="B7" s="48"/>
      <c r="C7" s="603"/>
      <c r="D7" s="603"/>
      <c r="E7" s="603"/>
      <c r="F7" s="603"/>
      <c r="G7" s="603"/>
      <c r="H7" s="603"/>
      <c r="I7" s="48"/>
    </row>
    <row r="8" spans="2:10" ht="15.9" customHeight="1">
      <c r="B8" s="48"/>
      <c r="C8" s="603"/>
      <c r="D8" s="603"/>
      <c r="E8" s="603"/>
      <c r="F8" s="603"/>
      <c r="G8" s="603"/>
      <c r="H8" s="603"/>
      <c r="I8" s="48"/>
    </row>
    <row r="9" spans="2:10" ht="15.9" customHeight="1">
      <c r="B9" s="48"/>
      <c r="C9" s="603"/>
      <c r="D9" s="603"/>
      <c r="E9" s="603"/>
      <c r="F9" s="603"/>
      <c r="G9" s="603"/>
      <c r="H9" s="603"/>
      <c r="I9" s="48"/>
    </row>
    <row r="10" spans="2:10" ht="15.9" customHeight="1">
      <c r="B10" s="48"/>
      <c r="C10" s="48"/>
      <c r="D10" s="48"/>
      <c r="E10" s="48"/>
      <c r="F10" s="48"/>
      <c r="G10" s="48"/>
      <c r="H10" s="48"/>
      <c r="I10" s="48"/>
    </row>
    <row r="11" spans="2:10" ht="15.9" customHeight="1">
      <c r="B11" s="599" t="s">
        <v>20</v>
      </c>
      <c r="C11" s="599"/>
      <c r="D11" s="599"/>
      <c r="E11" s="599"/>
      <c r="F11" s="599"/>
      <c r="G11" s="599"/>
      <c r="H11" s="599"/>
      <c r="I11" s="599"/>
      <c r="J11" s="2"/>
    </row>
    <row r="12" spans="2:10" ht="15.9" customHeight="1">
      <c r="B12" s="599" t="s">
        <v>14</v>
      </c>
      <c r="C12" s="599"/>
      <c r="D12" s="599"/>
      <c r="E12" s="599"/>
      <c r="F12" s="599"/>
      <c r="G12" s="599"/>
      <c r="H12" s="599"/>
      <c r="I12" s="599"/>
      <c r="J12" s="2"/>
    </row>
    <row r="13" spans="2:10" ht="15.9" customHeight="1">
      <c r="B13" s="602" t="s">
        <v>0</v>
      </c>
      <c r="C13" s="602"/>
      <c r="D13" s="602"/>
      <c r="E13" s="602"/>
      <c r="F13" s="602"/>
      <c r="G13" s="602"/>
      <c r="H13" s="602"/>
      <c r="I13" s="602"/>
    </row>
    <row r="14" spans="2:10" ht="15.9" customHeight="1">
      <c r="B14" s="600" t="s">
        <v>1</v>
      </c>
      <c r="C14" s="601"/>
      <c r="D14" s="601"/>
      <c r="E14" s="601"/>
      <c r="F14" s="601"/>
      <c r="G14" s="601"/>
      <c r="H14" s="601"/>
      <c r="I14" s="601"/>
    </row>
    <row r="15" spans="2:10" ht="15.9" customHeight="1">
      <c r="B15" s="48"/>
      <c r="C15" s="48"/>
      <c r="D15" s="48"/>
      <c r="E15" s="48"/>
      <c r="F15" s="48"/>
      <c r="G15" s="48"/>
      <c r="H15" s="48"/>
      <c r="I15" s="48"/>
    </row>
    <row r="16" spans="2:10" ht="15.9" customHeight="1">
      <c r="B16" s="599" t="s">
        <v>19</v>
      </c>
      <c r="C16" s="599"/>
      <c r="D16" s="599"/>
      <c r="E16" s="599"/>
      <c r="F16" s="599"/>
      <c r="G16" s="599"/>
      <c r="H16" s="599"/>
      <c r="I16" s="599"/>
    </row>
    <row r="17" spans="2:9" ht="15.9" customHeight="1">
      <c r="B17" s="602" t="s">
        <v>400</v>
      </c>
      <c r="C17" s="602"/>
      <c r="D17" s="602"/>
      <c r="E17" s="602"/>
      <c r="F17" s="602"/>
      <c r="G17" s="602"/>
      <c r="H17" s="602"/>
      <c r="I17" s="602"/>
    </row>
    <row r="18" spans="2:9" ht="15.9" customHeight="1">
      <c r="B18" s="28"/>
      <c r="C18" s="28"/>
      <c r="D18" s="28"/>
      <c r="E18" s="28"/>
      <c r="F18" s="28"/>
      <c r="G18" s="28"/>
      <c r="H18" s="28"/>
      <c r="I18" s="28"/>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L55"/>
  <sheetViews>
    <sheetView zoomScale="80" zoomScaleNormal="80" workbookViewId="0"/>
  </sheetViews>
  <sheetFormatPr defaultColWidth="9.109375" defaultRowHeight="14.7" customHeight="1"/>
  <cols>
    <col min="1" max="1" width="49.88671875" style="12" customWidth="1"/>
    <col min="2" max="2" width="12.6640625" style="41" customWidth="1"/>
    <col min="3" max="11" width="12.6640625" style="12" customWidth="1"/>
    <col min="12" max="16384" width="9.109375" style="12"/>
  </cols>
  <sheetData>
    <row r="1" spans="1:12" ht="39.9" customHeight="1">
      <c r="A1" s="156" t="s">
        <v>86</v>
      </c>
      <c r="B1" s="204"/>
      <c r="C1" s="204"/>
      <c r="D1" s="204"/>
      <c r="E1" s="156"/>
      <c r="F1" s="204"/>
      <c r="G1" s="204"/>
      <c r="H1" s="156"/>
      <c r="I1" s="204"/>
      <c r="J1" s="204"/>
      <c r="K1" s="156"/>
    </row>
    <row r="2" spans="1:12" ht="39.9" customHeight="1" thickBot="1">
      <c r="A2" s="606" t="s">
        <v>475</v>
      </c>
      <c r="B2" s="606"/>
      <c r="C2" s="606"/>
      <c r="D2" s="81"/>
      <c r="E2" s="606"/>
      <c r="F2" s="606"/>
      <c r="G2" s="606"/>
      <c r="H2" s="606"/>
      <c r="I2" s="606"/>
      <c r="J2" s="606"/>
      <c r="K2" s="81"/>
      <c r="L2" s="15"/>
    </row>
    <row r="3" spans="1:12" ht="14.7" customHeight="1">
      <c r="A3" s="11"/>
      <c r="B3" s="40"/>
      <c r="C3" s="11"/>
      <c r="D3" s="11"/>
      <c r="E3" s="11"/>
    </row>
    <row r="4" spans="1:12" ht="14.7" customHeight="1">
      <c r="A4" s="55" t="s">
        <v>122</v>
      </c>
      <c r="B4" s="56"/>
      <c r="C4" s="34"/>
      <c r="D4" s="11"/>
      <c r="E4" s="11"/>
    </row>
    <row r="5" spans="1:12" s="33" customFormat="1" ht="26.4">
      <c r="A5" s="57"/>
      <c r="B5" s="133"/>
      <c r="C5" s="57" t="s">
        <v>408</v>
      </c>
      <c r="D5" s="57" t="s">
        <v>238</v>
      </c>
      <c r="E5" s="57" t="s">
        <v>239</v>
      </c>
      <c r="F5" s="57" t="s">
        <v>240</v>
      </c>
      <c r="G5" s="57" t="s">
        <v>241</v>
      </c>
      <c r="H5" s="57" t="s">
        <v>242</v>
      </c>
      <c r="I5" s="57" t="s">
        <v>243</v>
      </c>
      <c r="J5" s="57" t="s">
        <v>244</v>
      </c>
      <c r="K5" s="57" t="s">
        <v>245</v>
      </c>
    </row>
    <row r="6" spans="1:12" ht="14.7" customHeight="1">
      <c r="A6" s="60" t="s">
        <v>48</v>
      </c>
      <c r="B6" s="61" t="s">
        <v>53</v>
      </c>
      <c r="C6" s="62">
        <v>393.4</v>
      </c>
      <c r="D6" s="63">
        <v>354.3</v>
      </c>
      <c r="E6" s="63">
        <v>277.89999999999998</v>
      </c>
      <c r="F6" s="63">
        <v>265.3</v>
      </c>
      <c r="G6" s="63">
        <v>325.60000000000002</v>
      </c>
      <c r="H6" s="63">
        <v>287</v>
      </c>
      <c r="I6" s="63">
        <v>242.6</v>
      </c>
      <c r="J6" s="63">
        <v>226.2</v>
      </c>
      <c r="K6" s="63">
        <v>343.5</v>
      </c>
    </row>
    <row r="7" spans="1:12" ht="14.7" customHeight="1">
      <c r="A7" s="64" t="s">
        <v>204</v>
      </c>
      <c r="B7" s="65" t="s">
        <v>53</v>
      </c>
      <c r="C7" s="66">
        <v>87.9</v>
      </c>
      <c r="D7" s="67">
        <v>107.8</v>
      </c>
      <c r="E7" s="67">
        <v>79.8</v>
      </c>
      <c r="F7" s="67">
        <v>87.8</v>
      </c>
      <c r="G7" s="67">
        <v>62</v>
      </c>
      <c r="H7" s="67">
        <v>53.1</v>
      </c>
      <c r="I7" s="67">
        <v>48.9</v>
      </c>
      <c r="J7" s="67">
        <v>50.8</v>
      </c>
      <c r="K7" s="67">
        <v>54.3</v>
      </c>
    </row>
    <row r="8" spans="1:12" ht="14.7" customHeight="1">
      <c r="A8" s="64" t="s">
        <v>116</v>
      </c>
      <c r="B8" s="65" t="s">
        <v>53</v>
      </c>
      <c r="C8" s="66">
        <v>91.9</v>
      </c>
      <c r="D8" s="67">
        <v>92.3</v>
      </c>
      <c r="E8" s="67">
        <v>70.2</v>
      </c>
      <c r="F8" s="67">
        <v>51.6</v>
      </c>
      <c r="G8" s="67">
        <v>77.5</v>
      </c>
      <c r="H8" s="67">
        <v>72.2</v>
      </c>
      <c r="I8" s="67">
        <v>57.9</v>
      </c>
      <c r="J8" s="67">
        <v>59.3</v>
      </c>
      <c r="K8" s="67">
        <v>70.5</v>
      </c>
    </row>
    <row r="9" spans="1:12" ht="14.7" customHeight="1">
      <c r="A9" s="64" t="s">
        <v>120</v>
      </c>
      <c r="B9" s="65" t="s">
        <v>5</v>
      </c>
      <c r="C9" s="68">
        <v>0.23100000000000001</v>
      </c>
      <c r="D9" s="69">
        <v>0.27300000000000002</v>
      </c>
      <c r="E9" s="69">
        <v>0.26100000000000001</v>
      </c>
      <c r="F9" s="69">
        <v>0.22700000000000001</v>
      </c>
      <c r="G9" s="69">
        <v>0.22700000000000001</v>
      </c>
      <c r="H9" s="69">
        <v>0.23699999999999999</v>
      </c>
      <c r="I9" s="69">
        <v>0.23100000000000001</v>
      </c>
      <c r="J9" s="69">
        <v>0.252</v>
      </c>
      <c r="K9" s="69">
        <v>0.19600000000000001</v>
      </c>
    </row>
    <row r="10" spans="1:12" ht="14.7" customHeight="1">
      <c r="A10" s="64" t="s">
        <v>205</v>
      </c>
      <c r="B10" s="65" t="s">
        <v>53</v>
      </c>
      <c r="C10" s="66">
        <v>51.3</v>
      </c>
      <c r="D10" s="67">
        <v>71.8</v>
      </c>
      <c r="E10" s="67">
        <v>49.7</v>
      </c>
      <c r="F10" s="67">
        <v>62.8</v>
      </c>
      <c r="G10" s="67">
        <v>30.6</v>
      </c>
      <c r="H10" s="67">
        <v>18.899999999999999</v>
      </c>
      <c r="I10" s="67">
        <v>18.100000000000001</v>
      </c>
      <c r="J10" s="67">
        <v>20</v>
      </c>
      <c r="K10" s="67">
        <v>26.1</v>
      </c>
    </row>
    <row r="11" spans="1:12" ht="14.7" customHeight="1">
      <c r="A11" s="64" t="s">
        <v>117</v>
      </c>
      <c r="B11" s="65" t="s">
        <v>53</v>
      </c>
      <c r="C11" s="66">
        <v>61.3</v>
      </c>
      <c r="D11" s="67">
        <v>57.6</v>
      </c>
      <c r="E11" s="67">
        <v>40.5</v>
      </c>
      <c r="F11" s="67">
        <v>23.1</v>
      </c>
      <c r="G11" s="67">
        <v>47.7</v>
      </c>
      <c r="H11" s="67">
        <v>36.6</v>
      </c>
      <c r="I11" s="67">
        <v>27.1</v>
      </c>
      <c r="J11" s="67">
        <v>29.5</v>
      </c>
      <c r="K11" s="67">
        <v>41.8</v>
      </c>
    </row>
    <row r="12" spans="1:12" ht="14.7" customHeight="1">
      <c r="A12" s="64" t="s">
        <v>84</v>
      </c>
      <c r="B12" s="65" t="s">
        <v>53</v>
      </c>
      <c r="C12" s="66">
        <v>37.1</v>
      </c>
      <c r="D12" s="67">
        <v>60.9</v>
      </c>
      <c r="E12" s="67">
        <v>36.4</v>
      </c>
      <c r="F12" s="67">
        <v>49.8</v>
      </c>
      <c r="G12" s="67">
        <v>22.2</v>
      </c>
      <c r="H12" s="67">
        <v>15.2</v>
      </c>
      <c r="I12" s="67">
        <v>14.9</v>
      </c>
      <c r="J12" s="67">
        <v>11.9</v>
      </c>
      <c r="K12" s="67">
        <v>17</v>
      </c>
    </row>
    <row r="13" spans="1:12" ht="14.7" customHeight="1">
      <c r="A13" s="64" t="s">
        <v>206</v>
      </c>
      <c r="B13" s="65" t="s">
        <v>53</v>
      </c>
      <c r="C13" s="66">
        <v>45.5</v>
      </c>
      <c r="D13" s="67">
        <v>46.2</v>
      </c>
      <c r="E13" s="67">
        <v>26</v>
      </c>
      <c r="F13" s="67">
        <v>12.2</v>
      </c>
      <c r="G13" s="67">
        <v>42.3</v>
      </c>
      <c r="H13" s="67">
        <v>31.5</v>
      </c>
      <c r="I13" s="67">
        <v>21.9</v>
      </c>
      <c r="J13" s="67">
        <v>20</v>
      </c>
      <c r="K13" s="67">
        <v>32.6</v>
      </c>
    </row>
    <row r="14" spans="1:12" ht="14.7" customHeight="1">
      <c r="A14" s="64" t="s">
        <v>119</v>
      </c>
      <c r="B14" s="65" t="s">
        <v>53</v>
      </c>
      <c r="C14" s="66">
        <v>28.2</v>
      </c>
      <c r="D14" s="67">
        <v>76</v>
      </c>
      <c r="E14" s="67">
        <v>83.7</v>
      </c>
      <c r="F14" s="67">
        <v>124.5</v>
      </c>
      <c r="G14" s="67">
        <v>62.6</v>
      </c>
      <c r="H14" s="67">
        <v>123.7</v>
      </c>
      <c r="I14" s="67">
        <v>110.4</v>
      </c>
      <c r="J14" s="67">
        <v>121.4</v>
      </c>
      <c r="K14" s="67">
        <v>97.7</v>
      </c>
    </row>
    <row r="15" spans="1:12" ht="14.7" customHeight="1">
      <c r="A15" s="64" t="s">
        <v>207</v>
      </c>
      <c r="B15" s="65" t="s">
        <v>53</v>
      </c>
      <c r="C15" s="286">
        <v>84.5</v>
      </c>
      <c r="D15" s="287">
        <v>104.9</v>
      </c>
      <c r="E15" s="287">
        <v>66</v>
      </c>
      <c r="F15" s="287">
        <v>81.400000000000006</v>
      </c>
      <c r="G15" s="287">
        <v>60.2</v>
      </c>
      <c r="H15" s="287">
        <v>47.8</v>
      </c>
      <c r="I15" s="287">
        <v>39.799999999999997</v>
      </c>
      <c r="J15" s="287">
        <v>48.9</v>
      </c>
      <c r="K15" s="287">
        <v>53</v>
      </c>
    </row>
    <row r="16" spans="1:12" ht="14.7" customHeight="1">
      <c r="A16" s="64" t="s">
        <v>192</v>
      </c>
      <c r="B16" s="65" t="s">
        <v>53</v>
      </c>
      <c r="C16" s="66">
        <v>28.5</v>
      </c>
      <c r="D16" s="67">
        <v>25.8</v>
      </c>
      <c r="E16" s="67">
        <v>26</v>
      </c>
      <c r="F16" s="67">
        <v>-28.7</v>
      </c>
      <c r="G16" s="67">
        <v>16.100000000000001</v>
      </c>
      <c r="H16" s="67">
        <v>-40.6</v>
      </c>
      <c r="I16" s="67">
        <v>-88.7</v>
      </c>
      <c r="J16" s="67">
        <v>-53</v>
      </c>
      <c r="K16" s="67">
        <v>-13.6</v>
      </c>
    </row>
    <row r="17" spans="1:11" ht="14.7" customHeight="1">
      <c r="A17" s="64" t="s">
        <v>208</v>
      </c>
      <c r="B17" s="65" t="s">
        <v>5</v>
      </c>
      <c r="C17" s="288">
        <v>0.115</v>
      </c>
      <c r="D17" s="69">
        <v>0.106</v>
      </c>
      <c r="E17" s="69">
        <v>9.2999999999999999E-2</v>
      </c>
      <c r="F17" s="69">
        <v>7.6999999999999999E-2</v>
      </c>
      <c r="G17" s="69">
        <v>4.8000000000000001E-2</v>
      </c>
      <c r="H17" s="69">
        <v>4.3999999999999997E-2</v>
      </c>
      <c r="I17" s="69">
        <v>-8.0000000000000002E-3</v>
      </c>
      <c r="J17" s="69">
        <v>-3.9E-2</v>
      </c>
      <c r="K17" s="69">
        <v>-2.8000000000000001E-2</v>
      </c>
    </row>
    <row r="18" spans="1:11" ht="14.7" customHeight="1">
      <c r="A18" s="64" t="s">
        <v>203</v>
      </c>
      <c r="B18" s="65" t="s">
        <v>5</v>
      </c>
      <c r="C18" s="288">
        <v>8.1000000000000003E-2</v>
      </c>
      <c r="D18" s="69">
        <v>7.9000000000000001E-2</v>
      </c>
      <c r="E18" s="69">
        <v>8.4000000000000005E-2</v>
      </c>
      <c r="F18" s="69">
        <v>8.1000000000000003E-2</v>
      </c>
      <c r="G18" s="69">
        <v>8.6999999999999994E-2</v>
      </c>
      <c r="H18" s="69">
        <v>0.08</v>
      </c>
      <c r="I18" s="69">
        <v>8.8999999999999996E-2</v>
      </c>
      <c r="J18" s="69">
        <v>7.0999999999999994E-2</v>
      </c>
      <c r="K18" s="69">
        <v>7.0000000000000007E-2</v>
      </c>
    </row>
    <row r="19" spans="1:11" ht="14.7" customHeight="1">
      <c r="A19" s="64" t="s">
        <v>209</v>
      </c>
      <c r="B19" s="65" t="s">
        <v>5</v>
      </c>
      <c r="C19" s="288">
        <v>9.9000000000000005E-2</v>
      </c>
      <c r="D19" s="69">
        <v>0.09</v>
      </c>
      <c r="E19" s="69">
        <v>7.0000000000000007E-2</v>
      </c>
      <c r="F19" s="69">
        <v>5.8000000000000003E-2</v>
      </c>
      <c r="G19" s="69">
        <v>0.04</v>
      </c>
      <c r="H19" s="69">
        <v>3.7999999999999999E-2</v>
      </c>
      <c r="I19" s="69">
        <v>-4.0000000000000001E-3</v>
      </c>
      <c r="J19" s="69">
        <v>-2.1999999999999999E-2</v>
      </c>
      <c r="K19" s="69">
        <v>-1.7000000000000001E-2</v>
      </c>
    </row>
    <row r="20" spans="1:11" ht="14.7" customHeight="1">
      <c r="A20" s="64" t="s">
        <v>210</v>
      </c>
      <c r="B20" s="65" t="s">
        <v>5</v>
      </c>
      <c r="C20" s="288">
        <v>7.6999999999999999E-2</v>
      </c>
      <c r="D20" s="69">
        <v>7.0999999999999994E-2</v>
      </c>
      <c r="E20" s="69">
        <v>6.4000000000000001E-2</v>
      </c>
      <c r="F20" s="69">
        <v>5.8999999999999997E-2</v>
      </c>
      <c r="G20" s="69">
        <v>6.4000000000000001E-2</v>
      </c>
      <c r="H20" s="69">
        <v>6.2E-2</v>
      </c>
      <c r="I20" s="69">
        <v>6.8000000000000005E-2</v>
      </c>
      <c r="J20" s="69">
        <v>6.0999999999999999E-2</v>
      </c>
      <c r="K20" s="69">
        <v>0.06</v>
      </c>
    </row>
    <row r="21" spans="1:11" s="33" customFormat="1" ht="26.4">
      <c r="A21" s="57"/>
      <c r="B21" s="133"/>
      <c r="C21" s="57" t="s">
        <v>408</v>
      </c>
      <c r="D21" s="57" t="s">
        <v>238</v>
      </c>
      <c r="E21" s="57" t="s">
        <v>239</v>
      </c>
      <c r="F21" s="57" t="s">
        <v>240</v>
      </c>
      <c r="G21" s="57" t="s">
        <v>241</v>
      </c>
      <c r="H21" s="57" t="s">
        <v>242</v>
      </c>
      <c r="I21" s="57" t="s">
        <v>243</v>
      </c>
      <c r="J21" s="57" t="s">
        <v>244</v>
      </c>
      <c r="K21" s="57" t="s">
        <v>245</v>
      </c>
    </row>
    <row r="22" spans="1:11" ht="14.7" customHeight="1">
      <c r="A22" s="60" t="s">
        <v>108</v>
      </c>
      <c r="B22" s="61" t="s">
        <v>53</v>
      </c>
      <c r="C22" s="62">
        <v>4050</v>
      </c>
      <c r="D22" s="63">
        <v>3969.3</v>
      </c>
      <c r="E22" s="63">
        <v>3440.1</v>
      </c>
      <c r="F22" s="63">
        <v>3400.4</v>
      </c>
      <c r="G22" s="63">
        <v>3194.1</v>
      </c>
      <c r="H22" s="63">
        <v>3198.1</v>
      </c>
      <c r="I22" s="63">
        <v>3061.1</v>
      </c>
      <c r="J22" s="63">
        <v>2992.6</v>
      </c>
      <c r="K22" s="63">
        <v>2964.3</v>
      </c>
    </row>
    <row r="23" spans="1:11" ht="14.7" customHeight="1">
      <c r="A23" s="60" t="s">
        <v>109</v>
      </c>
      <c r="B23" s="61" t="s">
        <v>53</v>
      </c>
      <c r="C23" s="62">
        <v>1857.9</v>
      </c>
      <c r="D23" s="63">
        <v>1843.8</v>
      </c>
      <c r="E23" s="63">
        <v>1329.6</v>
      </c>
      <c r="F23" s="63">
        <v>1337.8</v>
      </c>
      <c r="G23" s="63">
        <v>1357.1</v>
      </c>
      <c r="H23" s="63">
        <v>1348.6</v>
      </c>
      <c r="I23" s="63">
        <v>1332.5</v>
      </c>
      <c r="J23" s="63">
        <v>1320.8</v>
      </c>
      <c r="K23" s="63">
        <v>1314.2</v>
      </c>
    </row>
    <row r="24" spans="1:11" ht="14.7" customHeight="1">
      <c r="A24" s="60" t="s">
        <v>118</v>
      </c>
      <c r="B24" s="61" t="s">
        <v>53</v>
      </c>
      <c r="C24" s="62">
        <v>579.29999999999995</v>
      </c>
      <c r="D24" s="63">
        <v>600.29999999999995</v>
      </c>
      <c r="E24" s="63">
        <v>1026.8</v>
      </c>
      <c r="F24" s="63">
        <v>1019.2</v>
      </c>
      <c r="G24" s="63">
        <v>950.6</v>
      </c>
      <c r="H24" s="63">
        <v>966.5</v>
      </c>
      <c r="I24" s="63">
        <v>925.4</v>
      </c>
      <c r="J24" s="63">
        <v>842</v>
      </c>
      <c r="K24" s="63">
        <v>761.2</v>
      </c>
    </row>
    <row r="25" spans="1:11" ht="14.7" customHeight="1">
      <c r="A25" s="60" t="s">
        <v>211</v>
      </c>
      <c r="B25" s="61" t="s">
        <v>53</v>
      </c>
      <c r="C25" s="62">
        <v>96.8</v>
      </c>
      <c r="D25" s="63">
        <v>59.6</v>
      </c>
      <c r="E25" s="63">
        <v>30.9</v>
      </c>
      <c r="F25" s="63">
        <v>60.9</v>
      </c>
      <c r="G25" s="63">
        <v>62.2</v>
      </c>
      <c r="H25" s="63">
        <v>68.5</v>
      </c>
      <c r="I25" s="63">
        <v>69.099999999999994</v>
      </c>
      <c r="J25" s="63">
        <v>22.5</v>
      </c>
      <c r="K25" s="63">
        <v>9.9</v>
      </c>
    </row>
    <row r="26" spans="1:11" ht="14.7" customHeight="1">
      <c r="A26" s="60" t="s">
        <v>212</v>
      </c>
      <c r="B26" s="61" t="s">
        <v>110</v>
      </c>
      <c r="C26" s="289">
        <v>1.59</v>
      </c>
      <c r="D26" s="290">
        <v>1.78</v>
      </c>
      <c r="E26" s="290">
        <v>3.63</v>
      </c>
      <c r="F26" s="290">
        <v>4.05</v>
      </c>
      <c r="G26" s="290">
        <v>4.42</v>
      </c>
      <c r="H26" s="290">
        <v>4.67</v>
      </c>
      <c r="I26" s="290">
        <v>4.92</v>
      </c>
      <c r="J26" s="290">
        <v>5.84</v>
      </c>
      <c r="K26" s="290">
        <v>5.26</v>
      </c>
    </row>
    <row r="27" spans="1:11" ht="14.7" customHeight="1">
      <c r="A27" s="60" t="s">
        <v>213</v>
      </c>
      <c r="B27" s="61" t="s">
        <v>110</v>
      </c>
      <c r="C27" s="289">
        <v>1.89</v>
      </c>
      <c r="D27" s="290">
        <v>2.06</v>
      </c>
      <c r="E27" s="290">
        <v>3.78</v>
      </c>
      <c r="F27" s="290">
        <v>3.93</v>
      </c>
      <c r="G27" s="290">
        <v>3.56</v>
      </c>
      <c r="H27" s="290">
        <v>3.72</v>
      </c>
      <c r="I27" s="290">
        <v>3.64</v>
      </c>
      <c r="J27" s="290">
        <v>3.63</v>
      </c>
      <c r="K27" s="290">
        <v>3.47</v>
      </c>
    </row>
    <row r="28" spans="1:11" ht="14.7" customHeight="1">
      <c r="A28" s="64" t="s">
        <v>455</v>
      </c>
      <c r="B28" s="65" t="s">
        <v>5</v>
      </c>
      <c r="C28" s="288">
        <v>0.58099999999999996</v>
      </c>
      <c r="D28" s="69">
        <v>0.52100000000000002</v>
      </c>
      <c r="E28" s="69">
        <v>0.249</v>
      </c>
      <c r="F28" s="69">
        <v>0.22500000000000001</v>
      </c>
      <c r="G28" s="69">
        <v>0.20699999999999999</v>
      </c>
      <c r="H28" s="69">
        <v>0.19600000000000001</v>
      </c>
      <c r="I28" s="69">
        <v>0.17899999999999999</v>
      </c>
      <c r="J28" s="69">
        <v>0.156</v>
      </c>
      <c r="K28" s="69">
        <v>0.17399999999999999</v>
      </c>
    </row>
    <row r="29" spans="1:11" ht="14.7" customHeight="1">
      <c r="A29" s="10"/>
      <c r="B29" s="40"/>
      <c r="C29" s="11"/>
      <c r="D29" s="11"/>
      <c r="E29" s="11"/>
    </row>
    <row r="30" spans="1:11" ht="14.7" customHeight="1">
      <c r="A30" s="11"/>
      <c r="B30" s="40"/>
      <c r="C30" s="11"/>
      <c r="D30" s="11"/>
      <c r="E30" s="11"/>
    </row>
    <row r="31" spans="1:11" ht="14.7" customHeight="1">
      <c r="A31" s="605" t="s">
        <v>87</v>
      </c>
      <c r="B31" s="605"/>
      <c r="C31" s="605"/>
      <c r="D31" s="605"/>
      <c r="E31" s="605"/>
      <c r="F31" s="605"/>
      <c r="G31" s="605"/>
      <c r="H31" s="11"/>
      <c r="I31" s="11"/>
    </row>
    <row r="32" spans="1:11" s="33" customFormat="1" ht="26.4">
      <c r="A32" s="57"/>
      <c r="B32" s="57"/>
      <c r="C32" s="57" t="s">
        <v>408</v>
      </c>
      <c r="D32" s="57" t="s">
        <v>238</v>
      </c>
      <c r="E32" s="57" t="s">
        <v>82</v>
      </c>
      <c r="F32" s="57" t="s">
        <v>372</v>
      </c>
      <c r="G32" s="57" t="s">
        <v>241</v>
      </c>
      <c r="H32" s="57" t="s">
        <v>242</v>
      </c>
      <c r="I32" s="57" t="s">
        <v>243</v>
      </c>
      <c r="J32" s="57" t="s">
        <v>244</v>
      </c>
      <c r="K32" s="57" t="s">
        <v>245</v>
      </c>
    </row>
    <row r="33" spans="1:11" ht="14.7" customHeight="1">
      <c r="A33" s="157" t="s">
        <v>88</v>
      </c>
      <c r="B33" s="157"/>
      <c r="C33" s="72"/>
      <c r="D33" s="73"/>
      <c r="E33" s="73"/>
      <c r="F33" s="73"/>
      <c r="G33" s="73"/>
      <c r="H33" s="73"/>
      <c r="I33" s="73"/>
      <c r="J33" s="73"/>
      <c r="K33" s="73"/>
    </row>
    <row r="34" spans="1:11" ht="14.7" customHeight="1">
      <c r="A34" s="111" t="s">
        <v>89</v>
      </c>
      <c r="B34" s="221" t="s">
        <v>13</v>
      </c>
      <c r="C34" s="253">
        <v>1350</v>
      </c>
      <c r="D34" s="254">
        <v>1350</v>
      </c>
      <c r="E34" s="254">
        <v>1350</v>
      </c>
      <c r="F34" s="254">
        <v>1287</v>
      </c>
      <c r="G34" s="254">
        <v>1287</v>
      </c>
      <c r="H34" s="254">
        <v>1287</v>
      </c>
      <c r="I34" s="254">
        <v>1287</v>
      </c>
      <c r="J34" s="254">
        <v>1287</v>
      </c>
      <c r="K34" s="254">
        <v>1193</v>
      </c>
    </row>
    <row r="35" spans="1:11" ht="14.7" customHeight="1">
      <c r="A35" s="220" t="s">
        <v>90</v>
      </c>
      <c r="B35" s="221" t="s">
        <v>13</v>
      </c>
      <c r="C35" s="253">
        <v>1120</v>
      </c>
      <c r="D35" s="254">
        <v>1101</v>
      </c>
      <c r="E35" s="254">
        <v>1101</v>
      </c>
      <c r="F35" s="254">
        <v>1077</v>
      </c>
      <c r="G35" s="254">
        <v>1077</v>
      </c>
      <c r="H35" s="254">
        <v>1077</v>
      </c>
      <c r="I35" s="254">
        <v>1077</v>
      </c>
      <c r="J35" s="254">
        <v>1077</v>
      </c>
      <c r="K35" s="254">
        <v>1077</v>
      </c>
    </row>
    <row r="36" spans="1:11" ht="14.7" customHeight="1">
      <c r="A36" s="220" t="s">
        <v>91</v>
      </c>
      <c r="B36" s="221" t="s">
        <v>13</v>
      </c>
      <c r="C36" s="253">
        <v>230</v>
      </c>
      <c r="D36" s="254">
        <v>249</v>
      </c>
      <c r="E36" s="254">
        <v>249</v>
      </c>
      <c r="F36" s="254">
        <v>210</v>
      </c>
      <c r="G36" s="254">
        <v>210</v>
      </c>
      <c r="H36" s="254">
        <v>210</v>
      </c>
      <c r="I36" s="254">
        <v>210</v>
      </c>
      <c r="J36" s="254">
        <v>210</v>
      </c>
      <c r="K36" s="254">
        <v>116</v>
      </c>
    </row>
    <row r="37" spans="1:11" ht="14.7" customHeight="1">
      <c r="A37" s="111" t="s">
        <v>92</v>
      </c>
      <c r="B37" s="221" t="s">
        <v>11</v>
      </c>
      <c r="C37" s="126">
        <v>2.72</v>
      </c>
      <c r="D37" s="127">
        <v>2.5499999999999998</v>
      </c>
      <c r="E37" s="127">
        <v>2.2999999999999998</v>
      </c>
      <c r="F37" s="127">
        <v>2.17</v>
      </c>
      <c r="G37" s="127">
        <v>2.5299999999999998</v>
      </c>
      <c r="H37" s="127">
        <v>2.48</v>
      </c>
      <c r="I37" s="127">
        <v>2.2599999999999998</v>
      </c>
      <c r="J37" s="127">
        <v>2.27</v>
      </c>
      <c r="K37" s="127">
        <v>2.54</v>
      </c>
    </row>
    <row r="38" spans="1:11" ht="14.7" customHeight="1">
      <c r="A38" s="111" t="s">
        <v>73</v>
      </c>
      <c r="B38" s="221" t="s">
        <v>11</v>
      </c>
      <c r="C38" s="126">
        <v>0.56999999999999995</v>
      </c>
      <c r="D38" s="127">
        <v>0.65</v>
      </c>
      <c r="E38" s="127">
        <v>0.86</v>
      </c>
      <c r="F38" s="127">
        <v>0.56000000000000005</v>
      </c>
      <c r="G38" s="127">
        <v>0.39</v>
      </c>
      <c r="H38" s="127">
        <v>0.25</v>
      </c>
      <c r="I38" s="127">
        <v>0.34</v>
      </c>
      <c r="J38" s="127">
        <v>0.22</v>
      </c>
      <c r="K38" s="127">
        <v>0.25</v>
      </c>
    </row>
    <row r="39" spans="1:11" ht="14.7" customHeight="1">
      <c r="A39" s="220" t="s">
        <v>93</v>
      </c>
      <c r="B39" s="221" t="s">
        <v>11</v>
      </c>
      <c r="C39" s="126">
        <v>0.35</v>
      </c>
      <c r="D39" s="127">
        <v>0.34</v>
      </c>
      <c r="E39" s="127">
        <v>0.32</v>
      </c>
      <c r="F39" s="127">
        <v>0.26</v>
      </c>
      <c r="G39" s="127">
        <v>0.34</v>
      </c>
      <c r="H39" s="127">
        <v>0.24</v>
      </c>
      <c r="I39" s="127">
        <v>0.34</v>
      </c>
      <c r="J39" s="127">
        <v>0.22</v>
      </c>
      <c r="K39" s="127">
        <v>0.24</v>
      </c>
    </row>
    <row r="40" spans="1:11" ht="14.7" customHeight="1">
      <c r="A40" s="220" t="s">
        <v>94</v>
      </c>
      <c r="B40" s="221" t="s">
        <v>5</v>
      </c>
      <c r="C40" s="126">
        <v>0.61</v>
      </c>
      <c r="D40" s="127">
        <v>0.52</v>
      </c>
      <c r="E40" s="127">
        <v>0.36699999999999999</v>
      </c>
      <c r="F40" s="127">
        <v>0.46800000000000003</v>
      </c>
      <c r="G40" s="127">
        <v>0.871</v>
      </c>
      <c r="H40" s="127">
        <v>0.97299999999999998</v>
      </c>
      <c r="I40" s="127">
        <v>0.97599999999999998</v>
      </c>
      <c r="J40" s="127">
        <v>0.99199999999999999</v>
      </c>
      <c r="K40" s="127">
        <v>0.96899999999999997</v>
      </c>
    </row>
    <row r="41" spans="1:11" ht="14.7" customHeight="1">
      <c r="A41" s="111" t="s">
        <v>95</v>
      </c>
      <c r="B41" s="221" t="s">
        <v>11</v>
      </c>
      <c r="C41" s="126">
        <v>1.81</v>
      </c>
      <c r="D41" s="127">
        <v>1.83</v>
      </c>
      <c r="E41" s="127">
        <v>1.64</v>
      </c>
      <c r="F41" s="127">
        <v>1.62</v>
      </c>
      <c r="G41" s="127">
        <v>1.71</v>
      </c>
      <c r="H41" s="127">
        <v>1.66</v>
      </c>
      <c r="I41" s="127">
        <v>1.33</v>
      </c>
      <c r="J41" s="127">
        <v>1.34</v>
      </c>
      <c r="K41" s="127">
        <v>1.54</v>
      </c>
    </row>
    <row r="42" spans="1:11" ht="14.7" customHeight="1">
      <c r="A42" s="111" t="s">
        <v>10</v>
      </c>
      <c r="B42" s="221" t="s">
        <v>41</v>
      </c>
      <c r="C42" s="126">
        <v>0.37</v>
      </c>
      <c r="D42" s="127">
        <v>0.23</v>
      </c>
      <c r="E42" s="127">
        <v>0.25</v>
      </c>
      <c r="F42" s="127">
        <v>0.41</v>
      </c>
      <c r="G42" s="127">
        <v>0.45</v>
      </c>
      <c r="H42" s="127">
        <v>0.27</v>
      </c>
      <c r="I42" s="127">
        <v>0.35</v>
      </c>
      <c r="J42" s="127">
        <v>0.34</v>
      </c>
      <c r="K42" s="127">
        <v>0.35</v>
      </c>
    </row>
    <row r="43" spans="1:11" ht="14.7" customHeight="1">
      <c r="A43" s="111" t="s">
        <v>9</v>
      </c>
      <c r="B43" s="221" t="s">
        <v>12</v>
      </c>
      <c r="C43" s="126">
        <v>100.38</v>
      </c>
      <c r="D43" s="127">
        <v>13.49</v>
      </c>
      <c r="E43" s="127">
        <v>16.36</v>
      </c>
      <c r="F43" s="127">
        <v>34.15</v>
      </c>
      <c r="G43" s="127">
        <v>144.78</v>
      </c>
      <c r="H43" s="127">
        <v>18.21</v>
      </c>
      <c r="I43" s="127">
        <v>22.34</v>
      </c>
      <c r="J43" s="127">
        <v>25.06</v>
      </c>
      <c r="K43" s="127">
        <v>26.17</v>
      </c>
    </row>
    <row r="44" spans="1:11" ht="14.7" customHeight="1">
      <c r="A44" s="157" t="s">
        <v>96</v>
      </c>
      <c r="B44" s="221"/>
      <c r="C44" s="72"/>
      <c r="D44" s="73"/>
      <c r="E44" s="73"/>
      <c r="F44" s="73"/>
      <c r="G44" s="73"/>
      <c r="H44" s="73"/>
      <c r="I44" s="73"/>
      <c r="J44" s="73"/>
      <c r="K44" s="73"/>
    </row>
    <row r="45" spans="1:11" ht="14.7" customHeight="1">
      <c r="A45" s="111" t="s">
        <v>89</v>
      </c>
      <c r="B45" s="221" t="s">
        <v>13</v>
      </c>
      <c r="C45" s="253">
        <v>339</v>
      </c>
      <c r="D45" s="254">
        <v>339</v>
      </c>
      <c r="E45" s="254">
        <v>339</v>
      </c>
      <c r="F45" s="254">
        <v>339</v>
      </c>
      <c r="G45" s="254">
        <v>339</v>
      </c>
      <c r="H45" s="254">
        <v>339</v>
      </c>
      <c r="I45" s="254">
        <v>339</v>
      </c>
      <c r="J45" s="254">
        <v>339</v>
      </c>
      <c r="K45" s="254">
        <v>339</v>
      </c>
    </row>
    <row r="46" spans="1:11" ht="14.7" customHeight="1">
      <c r="A46" s="220" t="s">
        <v>90</v>
      </c>
      <c r="B46" s="221" t="s">
        <v>13</v>
      </c>
      <c r="C46" s="253">
        <v>170</v>
      </c>
      <c r="D46" s="254">
        <v>110</v>
      </c>
      <c r="E46" s="254">
        <v>110</v>
      </c>
      <c r="F46" s="254">
        <v>40</v>
      </c>
      <c r="G46" s="254">
        <v>40</v>
      </c>
      <c r="H46" s="254">
        <v>40</v>
      </c>
      <c r="I46" s="254">
        <v>40</v>
      </c>
      <c r="J46" s="254">
        <v>40</v>
      </c>
      <c r="K46" s="254">
        <v>40</v>
      </c>
    </row>
    <row r="47" spans="1:11" ht="14.7" customHeight="1">
      <c r="A47" s="220" t="s">
        <v>91</v>
      </c>
      <c r="B47" s="221" t="s">
        <v>13</v>
      </c>
      <c r="C47" s="253">
        <v>169</v>
      </c>
      <c r="D47" s="254">
        <v>229</v>
      </c>
      <c r="E47" s="254">
        <v>229</v>
      </c>
      <c r="F47" s="254">
        <v>299</v>
      </c>
      <c r="G47" s="254">
        <v>299</v>
      </c>
      <c r="H47" s="254">
        <v>299</v>
      </c>
      <c r="I47" s="254">
        <v>299</v>
      </c>
      <c r="J47" s="254">
        <v>299</v>
      </c>
      <c r="K47" s="254">
        <v>299</v>
      </c>
    </row>
    <row r="48" spans="1:11" ht="14.7" customHeight="1">
      <c r="A48" s="111" t="s">
        <v>97</v>
      </c>
      <c r="B48" s="221" t="s">
        <v>11</v>
      </c>
      <c r="C48" s="126">
        <v>0.23</v>
      </c>
      <c r="D48" s="127">
        <v>0.15</v>
      </c>
      <c r="E48" s="127">
        <v>0.03</v>
      </c>
      <c r="F48" s="127">
        <v>0.09</v>
      </c>
      <c r="G48" s="127">
        <v>0.06</v>
      </c>
      <c r="H48" s="127">
        <v>0.02</v>
      </c>
      <c r="I48" s="127">
        <v>0</v>
      </c>
      <c r="J48" s="127">
        <v>0.01</v>
      </c>
      <c r="K48" s="127">
        <v>0.05</v>
      </c>
    </row>
    <row r="49" spans="1:12" ht="14.7" customHeight="1">
      <c r="A49" s="157" t="s">
        <v>70</v>
      </c>
      <c r="B49" s="221"/>
      <c r="C49" s="72"/>
      <c r="D49" s="73"/>
      <c r="E49" s="73"/>
      <c r="F49" s="73"/>
      <c r="G49" s="73"/>
      <c r="H49" s="73"/>
      <c r="I49" s="73"/>
      <c r="J49" s="73"/>
      <c r="K49" s="73"/>
    </row>
    <row r="50" spans="1:12" ht="14.7" customHeight="1">
      <c r="A50" s="111" t="s">
        <v>43</v>
      </c>
      <c r="B50" s="221" t="s">
        <v>11</v>
      </c>
      <c r="C50" s="126">
        <v>3.32</v>
      </c>
      <c r="D50" s="127">
        <v>2.48</v>
      </c>
      <c r="E50" s="127">
        <v>0.99</v>
      </c>
      <c r="F50" s="127">
        <v>1.18</v>
      </c>
      <c r="G50" s="127">
        <v>2.41</v>
      </c>
      <c r="H50" s="127">
        <v>2.2599999999999998</v>
      </c>
      <c r="I50" s="127">
        <v>0.91</v>
      </c>
      <c r="J50" s="127">
        <v>1.03</v>
      </c>
      <c r="K50" s="127">
        <v>2.76</v>
      </c>
    </row>
    <row r="51" spans="1:12" ht="14.7" customHeight="1">
      <c r="A51" s="111" t="s">
        <v>98</v>
      </c>
      <c r="B51" s="221" t="s">
        <v>11</v>
      </c>
      <c r="C51" s="126">
        <v>5.6</v>
      </c>
      <c r="D51" s="127">
        <v>3.84</v>
      </c>
      <c r="E51" s="127">
        <v>3.62</v>
      </c>
      <c r="F51" s="127">
        <v>2.98</v>
      </c>
      <c r="G51" s="127">
        <v>4.26</v>
      </c>
      <c r="H51" s="127">
        <v>3.28</v>
      </c>
      <c r="I51" s="127">
        <v>1.53</v>
      </c>
      <c r="J51" s="127">
        <v>1.38</v>
      </c>
      <c r="K51" s="127">
        <v>3.64</v>
      </c>
    </row>
    <row r="52" spans="1:12" ht="14.7" customHeight="1">
      <c r="A52" s="111" t="s">
        <v>10</v>
      </c>
      <c r="B52" s="221" t="s">
        <v>41</v>
      </c>
      <c r="C52" s="283">
        <v>3.0000000000000001E-3</v>
      </c>
      <c r="D52" s="284">
        <v>3.0000000000000001E-3</v>
      </c>
      <c r="E52" s="284">
        <v>4.0000000000000001E-3</v>
      </c>
      <c r="F52" s="284">
        <v>2E-3</v>
      </c>
      <c r="G52" s="284">
        <v>1E-3</v>
      </c>
      <c r="H52" s="284">
        <v>2E-3</v>
      </c>
      <c r="I52" s="284">
        <v>2E-3</v>
      </c>
      <c r="J52" s="284">
        <v>3.0000000000000001E-3</v>
      </c>
      <c r="K52" s="284">
        <v>2E-3</v>
      </c>
    </row>
    <row r="53" spans="1:12" ht="14.7" customHeight="1">
      <c r="A53" s="111" t="s">
        <v>9</v>
      </c>
      <c r="B53" s="221" t="s">
        <v>12</v>
      </c>
      <c r="C53" s="126">
        <v>0.18</v>
      </c>
      <c r="D53" s="127">
        <v>0.76</v>
      </c>
      <c r="E53" s="127">
        <v>0.61</v>
      </c>
      <c r="F53" s="127">
        <v>0.19</v>
      </c>
      <c r="G53" s="127">
        <v>0.05</v>
      </c>
      <c r="H53" s="127">
        <v>0.23</v>
      </c>
      <c r="I53" s="127">
        <v>0.34</v>
      </c>
      <c r="J53" s="127">
        <v>0.47</v>
      </c>
      <c r="K53" s="127">
        <v>0.21</v>
      </c>
    </row>
    <row r="54" spans="1:12" ht="14.7" customHeight="1">
      <c r="A54" s="233"/>
      <c r="B54" s="285"/>
      <c r="C54" s="160"/>
      <c r="D54" s="160"/>
      <c r="E54" s="160"/>
      <c r="F54" s="234"/>
      <c r="G54" s="234"/>
      <c r="H54" s="234"/>
      <c r="I54" s="234"/>
      <c r="J54" s="234"/>
      <c r="K54" s="234"/>
      <c r="L54" s="25"/>
    </row>
    <row r="55" spans="1:12" ht="14.7" customHeight="1">
      <c r="A55" s="233"/>
      <c r="B55" s="285"/>
      <c r="C55" s="160"/>
      <c r="D55" s="160"/>
      <c r="E55" s="160"/>
      <c r="F55" s="234"/>
      <c r="G55" s="234"/>
      <c r="H55" s="234"/>
      <c r="I55" s="234"/>
      <c r="J55" s="234"/>
      <c r="K55" s="234"/>
      <c r="L55" s="25"/>
    </row>
  </sheetData>
  <mergeCells count="4">
    <mergeCell ref="A31:G31"/>
    <mergeCell ref="A2:C2"/>
    <mergeCell ref="E2:G2"/>
    <mergeCell ref="H2:J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D76"/>
  <sheetViews>
    <sheetView zoomScale="80" zoomScaleNormal="80" workbookViewId="0"/>
  </sheetViews>
  <sheetFormatPr defaultColWidth="9.109375" defaultRowHeight="14.7" customHeight="1"/>
  <cols>
    <col min="1" max="1" width="49.33203125" style="33" customWidth="1"/>
    <col min="2" max="4" width="13.6640625" style="12" customWidth="1"/>
    <col min="5" max="16384" width="9.109375" style="12"/>
  </cols>
  <sheetData>
    <row r="1" spans="1:4" ht="39.9" customHeight="1">
      <c r="A1" s="156" t="s">
        <v>86</v>
      </c>
      <c r="B1" s="204"/>
      <c r="C1" s="204"/>
      <c r="D1" s="156"/>
    </row>
    <row r="2" spans="1:4" ht="39.9" customHeight="1" thickBot="1">
      <c r="A2" s="606" t="s">
        <v>645</v>
      </c>
      <c r="B2" s="606"/>
      <c r="C2" s="606"/>
      <c r="D2" s="81"/>
    </row>
    <row r="3" spans="1:4" ht="14.7" customHeight="1">
      <c r="A3" s="11"/>
      <c r="B3" s="11"/>
      <c r="C3" s="11"/>
      <c r="D3" s="11"/>
    </row>
    <row r="4" spans="1:4" ht="14.7" customHeight="1">
      <c r="A4" s="291" t="s">
        <v>477</v>
      </c>
      <c r="B4" s="292"/>
      <c r="C4" s="292"/>
      <c r="D4" s="292"/>
    </row>
    <row r="5" spans="1:4" ht="39.6">
      <c r="A5" s="57"/>
      <c r="B5" s="57"/>
      <c r="C5" s="57" t="s">
        <v>466</v>
      </c>
      <c r="D5" s="57" t="s">
        <v>303</v>
      </c>
    </row>
    <row r="6" spans="1:4" ht="14.7" customHeight="1">
      <c r="A6" s="157" t="s">
        <v>261</v>
      </c>
      <c r="B6" s="157"/>
      <c r="C6" s="106"/>
      <c r="D6" s="107"/>
    </row>
    <row r="7" spans="1:4" ht="14.7" customHeight="1">
      <c r="A7" s="157" t="s">
        <v>158</v>
      </c>
      <c r="B7" s="293"/>
      <c r="C7" s="106"/>
      <c r="D7" s="107"/>
    </row>
    <row r="8" spans="1:4" ht="14.7" customHeight="1">
      <c r="A8" s="220" t="s">
        <v>262</v>
      </c>
      <c r="B8" s="221"/>
      <c r="C8" s="72">
        <v>202.25399999999999</v>
      </c>
      <c r="D8" s="73">
        <v>176.077</v>
      </c>
    </row>
    <row r="9" spans="1:4" ht="14.7" customHeight="1">
      <c r="A9" s="220" t="s">
        <v>263</v>
      </c>
      <c r="B9" s="221"/>
      <c r="C9" s="72">
        <v>2579.085</v>
      </c>
      <c r="D9" s="73">
        <v>2559.5540000000001</v>
      </c>
    </row>
    <row r="10" spans="1:4" ht="14.7" customHeight="1">
      <c r="A10" s="220" t="s">
        <v>264</v>
      </c>
      <c r="B10" s="221"/>
      <c r="C10" s="72">
        <v>39.628</v>
      </c>
      <c r="D10" s="73">
        <v>63.878999999999998</v>
      </c>
    </row>
    <row r="11" spans="1:4" ht="14.7" customHeight="1">
      <c r="A11" s="220" t="s">
        <v>265</v>
      </c>
      <c r="B11" s="221"/>
      <c r="C11" s="72">
        <v>9.7620000000000005</v>
      </c>
      <c r="D11" s="73">
        <v>0.04</v>
      </c>
    </row>
    <row r="12" spans="1:4" ht="14.7" customHeight="1">
      <c r="A12" s="220" t="s">
        <v>266</v>
      </c>
      <c r="B12" s="221"/>
      <c r="C12" s="72">
        <v>3.8479999999999999</v>
      </c>
      <c r="D12" s="73">
        <v>5.1829999999999998</v>
      </c>
    </row>
    <row r="13" spans="1:4" ht="14.7" customHeight="1">
      <c r="A13" s="220" t="s">
        <v>267</v>
      </c>
      <c r="B13" s="221"/>
      <c r="C13" s="72">
        <v>168.48699999999999</v>
      </c>
      <c r="D13" s="73">
        <v>161.51499999999999</v>
      </c>
    </row>
    <row r="14" spans="1:4" ht="14.7" customHeight="1">
      <c r="A14" s="220" t="s">
        <v>268</v>
      </c>
      <c r="B14" s="221"/>
      <c r="C14" s="72">
        <v>9.673</v>
      </c>
      <c r="D14" s="73">
        <v>7.2690000000000001</v>
      </c>
    </row>
    <row r="15" spans="1:4" ht="14.7" customHeight="1">
      <c r="A15" s="220" t="s">
        <v>269</v>
      </c>
      <c r="B15" s="221"/>
      <c r="C15" s="72">
        <v>0</v>
      </c>
      <c r="D15" s="73">
        <v>2.7879999999999998</v>
      </c>
    </row>
    <row r="16" spans="1:4" ht="14.7" customHeight="1">
      <c r="A16" s="220" t="s">
        <v>270</v>
      </c>
      <c r="B16" s="221"/>
      <c r="C16" s="72">
        <v>6.1980000000000004</v>
      </c>
      <c r="D16" s="73">
        <v>6.431</v>
      </c>
    </row>
    <row r="17" spans="1:4" ht="14.7" customHeight="1">
      <c r="A17" s="157" t="s">
        <v>271</v>
      </c>
      <c r="B17" s="293"/>
      <c r="C17" s="106">
        <v>3018.9349999999999</v>
      </c>
      <c r="D17" s="107">
        <v>2982.7359999999999</v>
      </c>
    </row>
    <row r="18" spans="1:4" ht="14.7" customHeight="1">
      <c r="A18" s="157" t="s">
        <v>159</v>
      </c>
      <c r="B18" s="293"/>
      <c r="C18" s="106"/>
      <c r="D18" s="107"/>
    </row>
    <row r="19" spans="1:4" ht="14.7" customHeight="1">
      <c r="A19" s="220" t="s">
        <v>272</v>
      </c>
      <c r="B19" s="221"/>
      <c r="C19" s="72">
        <v>47.018000000000001</v>
      </c>
      <c r="D19" s="73">
        <v>33.11</v>
      </c>
    </row>
    <row r="20" spans="1:4" ht="26.4">
      <c r="A20" s="220" t="s">
        <v>273</v>
      </c>
      <c r="B20" s="221"/>
      <c r="C20" s="72">
        <v>57.588999999999999</v>
      </c>
      <c r="D20" s="73">
        <v>50.703000000000003</v>
      </c>
    </row>
    <row r="21" spans="1:4" ht="14.7" customHeight="1">
      <c r="A21" s="220" t="s">
        <v>274</v>
      </c>
      <c r="B21" s="221"/>
      <c r="C21" s="72">
        <v>140.40700000000001</v>
      </c>
      <c r="D21" s="73">
        <v>128.423</v>
      </c>
    </row>
    <row r="22" spans="1:4" ht="14.7" customHeight="1">
      <c r="A22" s="220" t="s">
        <v>275</v>
      </c>
      <c r="B22" s="221"/>
      <c r="C22" s="72">
        <v>39.473999999999997</v>
      </c>
      <c r="D22" s="73">
        <v>47.468000000000004</v>
      </c>
    </row>
    <row r="23" spans="1:4" ht="14.7" customHeight="1">
      <c r="A23" s="220" t="s">
        <v>276</v>
      </c>
      <c r="B23" s="221"/>
      <c r="C23" s="72">
        <v>73.293000000000006</v>
      </c>
      <c r="D23" s="73">
        <v>67.364999999999995</v>
      </c>
    </row>
    <row r="24" spans="1:4" ht="14.7" customHeight="1">
      <c r="A24" s="220" t="s">
        <v>277</v>
      </c>
      <c r="B24" s="221"/>
      <c r="C24" s="72">
        <v>0.08</v>
      </c>
      <c r="D24" s="73">
        <v>0.223</v>
      </c>
    </row>
    <row r="25" spans="1:4" ht="14.7" customHeight="1">
      <c r="A25" s="220" t="s">
        <v>175</v>
      </c>
      <c r="B25" s="221"/>
      <c r="C25" s="72">
        <v>672.80799999999999</v>
      </c>
      <c r="D25" s="73">
        <v>658.79499999999996</v>
      </c>
    </row>
    <row r="26" spans="1:4" ht="14.7" customHeight="1">
      <c r="A26" s="220"/>
      <c r="B26" s="221"/>
      <c r="C26" s="106">
        <v>1030.6690000000001</v>
      </c>
      <c r="D26" s="107">
        <v>986.08699999999999</v>
      </c>
    </row>
    <row r="27" spans="1:4" ht="14.7" customHeight="1">
      <c r="A27" s="220" t="s">
        <v>278</v>
      </c>
      <c r="B27" s="221"/>
      <c r="C27" s="72">
        <v>0.36399999999999999</v>
      </c>
      <c r="D27" s="73">
        <v>0.47299999999999998</v>
      </c>
    </row>
    <row r="28" spans="1:4" ht="14.7" customHeight="1">
      <c r="A28" s="157" t="s">
        <v>279</v>
      </c>
      <c r="B28" s="293"/>
      <c r="C28" s="106">
        <v>1031.0329999999999</v>
      </c>
      <c r="D28" s="107">
        <v>986.56</v>
      </c>
    </row>
    <row r="29" spans="1:4" ht="14.7" customHeight="1">
      <c r="A29" s="157" t="s">
        <v>160</v>
      </c>
      <c r="B29" s="293"/>
      <c r="C29" s="106">
        <v>4049.9679999999998</v>
      </c>
      <c r="D29" s="107">
        <v>3969.2959999999998</v>
      </c>
    </row>
    <row r="30" spans="1:4" ht="14.7" customHeight="1">
      <c r="A30" s="157"/>
      <c r="B30" s="293"/>
      <c r="C30" s="106"/>
      <c r="D30" s="107"/>
    </row>
    <row r="31" spans="1:4" ht="14.7" customHeight="1">
      <c r="A31" s="157" t="s">
        <v>280</v>
      </c>
      <c r="B31" s="293"/>
      <c r="C31" s="106"/>
      <c r="D31" s="107"/>
    </row>
    <row r="32" spans="1:4" ht="14.7" customHeight="1">
      <c r="A32" s="157" t="s">
        <v>109</v>
      </c>
      <c r="B32" s="293"/>
      <c r="C32" s="106"/>
      <c r="D32" s="107"/>
    </row>
    <row r="33" spans="1:4" ht="14.7" customHeight="1">
      <c r="A33" s="220" t="s">
        <v>281</v>
      </c>
      <c r="B33" s="221"/>
      <c r="C33" s="72">
        <v>1658.7560000000001</v>
      </c>
      <c r="D33" s="73">
        <v>1658.7560000000001</v>
      </c>
    </row>
    <row r="34" spans="1:4" ht="14.7" customHeight="1">
      <c r="A34" s="220" t="s">
        <v>282</v>
      </c>
      <c r="B34" s="221"/>
      <c r="C34" s="72">
        <v>321.13</v>
      </c>
      <c r="D34" s="73">
        <v>269.76900000000001</v>
      </c>
    </row>
    <row r="35" spans="1:4" ht="14.7" customHeight="1">
      <c r="A35" s="220" t="s">
        <v>283</v>
      </c>
      <c r="B35" s="221"/>
      <c r="C35" s="72">
        <v>-124.30800000000001</v>
      </c>
      <c r="D35" s="73">
        <v>-86.164000000000001</v>
      </c>
    </row>
    <row r="36" spans="1:4" ht="26.4">
      <c r="A36" s="157" t="s">
        <v>284</v>
      </c>
      <c r="B36" s="293"/>
      <c r="C36" s="72">
        <v>1855.578</v>
      </c>
      <c r="D36" s="73">
        <v>1842.3610000000001</v>
      </c>
    </row>
    <row r="37" spans="1:4" ht="14.7" customHeight="1">
      <c r="A37" s="220" t="s">
        <v>285</v>
      </c>
      <c r="B37" s="221"/>
      <c r="C37" s="106">
        <v>2.3380000000000001</v>
      </c>
      <c r="D37" s="107">
        <v>1.47</v>
      </c>
    </row>
    <row r="38" spans="1:4" ht="14.7" customHeight="1">
      <c r="A38" s="157" t="s">
        <v>286</v>
      </c>
      <c r="B38" s="293"/>
      <c r="C38" s="106">
        <v>1857.9159999999999</v>
      </c>
      <c r="D38" s="107">
        <v>1843.8309999999999</v>
      </c>
    </row>
    <row r="39" spans="1:4" ht="14.7" customHeight="1">
      <c r="A39" s="157" t="s">
        <v>287</v>
      </c>
      <c r="B39" s="293"/>
      <c r="C39" s="106"/>
      <c r="D39" s="107"/>
    </row>
    <row r="40" spans="1:4" ht="14.7" customHeight="1">
      <c r="A40" s="157" t="s">
        <v>162</v>
      </c>
      <c r="B40" s="293"/>
      <c r="C40" s="106"/>
      <c r="D40" s="107"/>
    </row>
    <row r="41" spans="1:4" ht="14.7" customHeight="1">
      <c r="A41" s="220" t="s">
        <v>288</v>
      </c>
      <c r="B41" s="221"/>
      <c r="C41" s="72">
        <v>1241.6759999999999</v>
      </c>
      <c r="D41" s="73">
        <v>1246.1279999999999</v>
      </c>
    </row>
    <row r="42" spans="1:4" ht="14.7" customHeight="1">
      <c r="A42" s="220" t="s">
        <v>289</v>
      </c>
      <c r="B42" s="221"/>
      <c r="C42" s="72">
        <v>28.167999999999999</v>
      </c>
      <c r="D42" s="73">
        <v>29.128</v>
      </c>
    </row>
    <row r="43" spans="1:4" ht="14.7" customHeight="1">
      <c r="A43" s="220" t="s">
        <v>290</v>
      </c>
      <c r="B43" s="221"/>
      <c r="C43" s="72">
        <v>283.99900000000002</v>
      </c>
      <c r="D43" s="73">
        <v>280.37</v>
      </c>
    </row>
    <row r="44" spans="1:4" ht="14.7" customHeight="1">
      <c r="A44" s="220" t="s">
        <v>291</v>
      </c>
      <c r="B44" s="221"/>
      <c r="C44" s="72">
        <v>60.628999999999998</v>
      </c>
      <c r="D44" s="73">
        <v>52.173999999999999</v>
      </c>
    </row>
    <row r="45" spans="1:4" ht="14.7" customHeight="1">
      <c r="A45" s="220" t="s">
        <v>292</v>
      </c>
      <c r="B45" s="221"/>
      <c r="C45" s="72">
        <v>40.421999999999997</v>
      </c>
      <c r="D45" s="73">
        <v>40.695</v>
      </c>
    </row>
    <row r="46" spans="1:4" ht="14.7" customHeight="1">
      <c r="A46" s="220" t="s">
        <v>293</v>
      </c>
      <c r="B46" s="221"/>
      <c r="C46" s="72">
        <v>167.01</v>
      </c>
      <c r="D46" s="73">
        <v>164.41300000000001</v>
      </c>
    </row>
    <row r="47" spans="1:4" ht="14.7" customHeight="1">
      <c r="A47" s="220" t="s">
        <v>294</v>
      </c>
      <c r="B47" s="221"/>
      <c r="C47" s="72">
        <v>0.38700000000000001</v>
      </c>
      <c r="D47" s="73">
        <v>3.258</v>
      </c>
    </row>
    <row r="48" spans="1:4" ht="14.7" customHeight="1">
      <c r="A48" s="157" t="s">
        <v>295</v>
      </c>
      <c r="B48" s="293"/>
      <c r="C48" s="106">
        <v>1822.2909999999999</v>
      </c>
      <c r="D48" s="107">
        <v>1816.1659999999999</v>
      </c>
    </row>
    <row r="49" spans="1:4" ht="14.7" customHeight="1">
      <c r="A49" s="157" t="s">
        <v>163</v>
      </c>
      <c r="B49" s="293"/>
      <c r="C49" s="106"/>
      <c r="D49" s="107"/>
    </row>
    <row r="50" spans="1:4" ht="14.7" customHeight="1">
      <c r="A50" s="220" t="s">
        <v>171</v>
      </c>
      <c r="B50" s="221"/>
      <c r="C50" s="72">
        <v>7.9029999999999996</v>
      </c>
      <c r="D50" s="73">
        <v>6.3330000000000002</v>
      </c>
    </row>
    <row r="51" spans="1:4" ht="14.7" customHeight="1">
      <c r="A51" s="220" t="s">
        <v>172</v>
      </c>
      <c r="B51" s="221"/>
      <c r="C51" s="72">
        <v>13.794</v>
      </c>
      <c r="D51" s="73">
        <v>9.1430000000000007</v>
      </c>
    </row>
    <row r="52" spans="1:4" ht="14.7" customHeight="1">
      <c r="A52" s="220" t="s">
        <v>296</v>
      </c>
      <c r="B52" s="221"/>
      <c r="C52" s="72">
        <v>5.4219999999999997</v>
      </c>
      <c r="D52" s="73">
        <v>13.401</v>
      </c>
    </row>
    <row r="53" spans="1:4" ht="14.7" customHeight="1">
      <c r="A53" s="220" t="s">
        <v>297</v>
      </c>
      <c r="B53" s="221"/>
      <c r="C53" s="72">
        <v>89.775999999999996</v>
      </c>
      <c r="D53" s="73">
        <v>51.692999999999998</v>
      </c>
    </row>
    <row r="54" spans="1:4" ht="14.7" customHeight="1">
      <c r="A54" s="220" t="s">
        <v>298</v>
      </c>
      <c r="B54" s="221"/>
      <c r="C54" s="72">
        <v>39.030999999999999</v>
      </c>
      <c r="D54" s="73">
        <v>42.643999999999998</v>
      </c>
    </row>
    <row r="55" spans="1:4" ht="14.7" customHeight="1">
      <c r="A55" s="220" t="s">
        <v>299</v>
      </c>
      <c r="B55" s="221"/>
      <c r="C55" s="72">
        <v>9.3610000000000007</v>
      </c>
      <c r="D55" s="73">
        <v>7.7380000000000004</v>
      </c>
    </row>
    <row r="56" spans="1:4" ht="14.7" customHeight="1">
      <c r="A56" s="220" t="s">
        <v>292</v>
      </c>
      <c r="B56" s="221"/>
      <c r="C56" s="72">
        <v>41.789000000000001</v>
      </c>
      <c r="D56" s="73">
        <v>30.399000000000001</v>
      </c>
    </row>
    <row r="57" spans="1:4" ht="14.7" customHeight="1">
      <c r="A57" s="220" t="s">
        <v>293</v>
      </c>
      <c r="B57" s="221"/>
      <c r="C57" s="72">
        <v>8.6760000000000002</v>
      </c>
      <c r="D57" s="73">
        <v>8.5790000000000006</v>
      </c>
    </row>
    <row r="58" spans="1:4" ht="13.8">
      <c r="A58" s="220" t="s">
        <v>300</v>
      </c>
      <c r="B58" s="221"/>
      <c r="C58" s="72">
        <v>154.00899999999999</v>
      </c>
      <c r="D58" s="73">
        <v>139.369</v>
      </c>
    </row>
    <row r="59" spans="1:4" ht="14.7" customHeight="1">
      <c r="A59" s="157" t="s">
        <v>301</v>
      </c>
      <c r="B59" s="293"/>
      <c r="C59" s="106">
        <v>369.76100000000002</v>
      </c>
      <c r="D59" s="107">
        <v>309.29899999999998</v>
      </c>
    </row>
    <row r="60" spans="1:4" ht="14.7" customHeight="1">
      <c r="A60" s="157" t="s">
        <v>302</v>
      </c>
      <c r="B60" s="293"/>
      <c r="C60" s="106">
        <v>2192.0520000000001</v>
      </c>
      <c r="D60" s="107">
        <v>2125.4650000000001</v>
      </c>
    </row>
    <row r="61" spans="1:4" ht="14.7" customHeight="1">
      <c r="A61" s="157" t="s">
        <v>164</v>
      </c>
      <c r="B61" s="293"/>
      <c r="C61" s="106">
        <v>4049.9679999999998</v>
      </c>
      <c r="D61" s="107">
        <v>3969.2959999999998</v>
      </c>
    </row>
    <row r="62" spans="1:4" ht="14.7" customHeight="1">
      <c r="A62" s="296"/>
      <c r="B62" s="160"/>
      <c r="C62" s="160"/>
      <c r="D62" s="160"/>
    </row>
    <row r="63" spans="1:4" ht="14.7" customHeight="1">
      <c r="A63" s="39"/>
      <c r="B63" s="9"/>
      <c r="C63" s="9"/>
      <c r="D63" s="9"/>
    </row>
    <row r="64" spans="1:4" ht="14.7" customHeight="1">
      <c r="A64" s="39"/>
      <c r="B64" s="9"/>
      <c r="C64" s="9"/>
      <c r="D64" s="9"/>
    </row>
    <row r="65" spans="1:4" ht="14.7" customHeight="1">
      <c r="A65" s="39"/>
      <c r="B65" s="9"/>
      <c r="C65" s="9"/>
      <c r="D65" s="9"/>
    </row>
    <row r="66" spans="1:4" ht="14.7" customHeight="1">
      <c r="A66" s="39"/>
      <c r="B66" s="9"/>
      <c r="C66" s="9"/>
      <c r="D66" s="9"/>
    </row>
    <row r="67" spans="1:4" ht="14.7" customHeight="1">
      <c r="A67" s="39"/>
      <c r="B67" s="9"/>
      <c r="C67" s="9"/>
      <c r="D67" s="9"/>
    </row>
    <row r="68" spans="1:4" ht="14.7" customHeight="1">
      <c r="A68" s="39"/>
      <c r="B68" s="9"/>
      <c r="C68" s="9"/>
      <c r="D68" s="9"/>
    </row>
    <row r="69" spans="1:4" ht="14.7" customHeight="1">
      <c r="A69" s="39"/>
      <c r="B69" s="9"/>
      <c r="C69" s="9"/>
      <c r="D69" s="9"/>
    </row>
    <row r="70" spans="1:4" ht="14.7" customHeight="1">
      <c r="A70" s="39"/>
      <c r="B70" s="9"/>
      <c r="C70" s="9"/>
      <c r="D70" s="9"/>
    </row>
    <row r="71" spans="1:4" ht="14.7" customHeight="1">
      <c r="A71" s="39"/>
      <c r="B71" s="9"/>
      <c r="C71" s="9"/>
      <c r="D71" s="9"/>
    </row>
    <row r="72" spans="1:4" ht="14.7" customHeight="1">
      <c r="A72" s="39"/>
      <c r="B72" s="9"/>
      <c r="C72" s="9"/>
      <c r="D72" s="9"/>
    </row>
    <row r="73" spans="1:4" ht="14.7" customHeight="1">
      <c r="A73" s="32"/>
      <c r="B73" s="11"/>
      <c r="C73" s="11"/>
      <c r="D73" s="11"/>
    </row>
    <row r="74" spans="1:4" ht="14.7" customHeight="1">
      <c r="A74" s="32"/>
      <c r="B74" s="11"/>
      <c r="C74" s="11"/>
      <c r="D74" s="11"/>
    </row>
    <row r="75" spans="1:4" ht="14.7" customHeight="1">
      <c r="A75" s="32"/>
      <c r="B75" s="11"/>
      <c r="C75" s="11"/>
      <c r="D75" s="11"/>
    </row>
    <row r="76" spans="1:4" ht="14.7" customHeight="1">
      <c r="A76" s="32"/>
      <c r="B76" s="11"/>
      <c r="C76" s="11"/>
      <c r="D76" s="11"/>
    </row>
  </sheetData>
  <mergeCells count="1">
    <mergeCell ref="A2:C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50"/>
  <sheetViews>
    <sheetView zoomScale="80" zoomScaleNormal="80" workbookViewId="0"/>
  </sheetViews>
  <sheetFormatPr defaultColWidth="9.109375" defaultRowHeight="14.7" customHeight="1"/>
  <cols>
    <col min="1" max="1" width="64.88671875" style="33" customWidth="1"/>
    <col min="2" max="4" width="13.6640625" style="12" customWidth="1"/>
    <col min="5" max="16384" width="9.109375" style="12"/>
  </cols>
  <sheetData>
    <row r="1" spans="1:4" ht="39.9" customHeight="1">
      <c r="A1" s="156" t="s">
        <v>86</v>
      </c>
      <c r="B1" s="204"/>
      <c r="C1" s="204"/>
      <c r="D1" s="156"/>
    </row>
    <row r="2" spans="1:4" ht="39.9" customHeight="1" thickBot="1">
      <c r="A2" s="606" t="s">
        <v>646</v>
      </c>
      <c r="B2" s="606"/>
      <c r="C2" s="606"/>
      <c r="D2" s="81"/>
    </row>
    <row r="3" spans="1:4" ht="14.7" customHeight="1">
      <c r="A3" s="11"/>
      <c r="B3" s="11"/>
      <c r="C3" s="11"/>
      <c r="D3" s="11"/>
    </row>
    <row r="4" spans="1:4" ht="14.7" customHeight="1">
      <c r="A4" s="291" t="s">
        <v>476</v>
      </c>
      <c r="B4" s="292"/>
      <c r="C4" s="292"/>
      <c r="D4" s="292"/>
    </row>
    <row r="5" spans="1:4" ht="27" thickBot="1">
      <c r="A5" s="302"/>
      <c r="B5" s="302"/>
      <c r="C5" s="302" t="s">
        <v>408</v>
      </c>
      <c r="D5" s="302" t="s">
        <v>462</v>
      </c>
    </row>
    <row r="6" spans="1:4" ht="14.7" customHeight="1">
      <c r="A6" s="301" t="s">
        <v>304</v>
      </c>
      <c r="B6" s="111"/>
      <c r="C6" s="72">
        <v>386.65300000000002</v>
      </c>
      <c r="D6" s="73">
        <v>324.62</v>
      </c>
    </row>
    <row r="7" spans="1:4" ht="14.7" customHeight="1">
      <c r="A7" s="220" t="s">
        <v>305</v>
      </c>
      <c r="B7" s="221"/>
      <c r="C7" s="72">
        <v>6.7560000000000002</v>
      </c>
      <c r="D7" s="73">
        <v>1.0389999999999999</v>
      </c>
    </row>
    <row r="8" spans="1:4" ht="14.7" customHeight="1">
      <c r="A8" s="157" t="s">
        <v>306</v>
      </c>
      <c r="B8" s="293"/>
      <c r="C8" s="106">
        <v>393.40899999999999</v>
      </c>
      <c r="D8" s="107">
        <v>325.65899999999999</v>
      </c>
    </row>
    <row r="9" spans="1:4" ht="14.7" customHeight="1">
      <c r="A9" s="220" t="s">
        <v>125</v>
      </c>
      <c r="B9" s="221"/>
      <c r="C9" s="72">
        <v>-264.733</v>
      </c>
      <c r="D9" s="73">
        <v>-179.7</v>
      </c>
    </row>
    <row r="10" spans="1:4" ht="14.7" customHeight="1">
      <c r="A10" s="220" t="s">
        <v>127</v>
      </c>
      <c r="B10" s="221"/>
      <c r="C10" s="72">
        <v>-25.379000000000001</v>
      </c>
      <c r="D10" s="73">
        <v>-24.457000000000001</v>
      </c>
    </row>
    <row r="11" spans="1:4" ht="14.7" customHeight="1">
      <c r="A11" s="220" t="s">
        <v>307</v>
      </c>
      <c r="B11" s="221"/>
      <c r="C11" s="72">
        <v>-5.5229999999999997</v>
      </c>
      <c r="D11" s="73">
        <v>-4.82</v>
      </c>
    </row>
    <row r="12" spans="1:4" ht="14.7" customHeight="1">
      <c r="A12" s="220" t="s">
        <v>193</v>
      </c>
      <c r="B12" s="221"/>
      <c r="C12" s="72">
        <v>-9.8550000000000004</v>
      </c>
      <c r="D12" s="73">
        <v>-54.625999999999998</v>
      </c>
    </row>
    <row r="13" spans="1:4" ht="14.7" customHeight="1">
      <c r="A13" s="157" t="s">
        <v>81</v>
      </c>
      <c r="B13" s="293"/>
      <c r="C13" s="106">
        <v>-305.49</v>
      </c>
      <c r="D13" s="107">
        <v>-263.60300000000001</v>
      </c>
    </row>
    <row r="14" spans="1:4" s="22" customFormat="1" ht="14.7" customHeight="1">
      <c r="A14" s="157" t="s">
        <v>399</v>
      </c>
      <c r="B14" s="293"/>
      <c r="C14" s="106">
        <v>87.918999999999997</v>
      </c>
      <c r="D14" s="107">
        <v>62.055999999999997</v>
      </c>
    </row>
    <row r="15" spans="1:4" ht="14.7" customHeight="1">
      <c r="A15" s="220" t="s">
        <v>129</v>
      </c>
      <c r="B15" s="221"/>
      <c r="C15" s="72">
        <v>-29.423999999999999</v>
      </c>
      <c r="D15" s="73">
        <v>-27.727</v>
      </c>
    </row>
    <row r="16" spans="1:4" ht="26.4">
      <c r="A16" s="220" t="s">
        <v>195</v>
      </c>
      <c r="B16" s="221"/>
      <c r="C16" s="72">
        <v>-0.99399999999999999</v>
      </c>
      <c r="D16" s="73">
        <v>-1.6259999999999999</v>
      </c>
    </row>
    <row r="17" spans="1:4" ht="14.7" customHeight="1">
      <c r="A17" s="220" t="s">
        <v>143</v>
      </c>
      <c r="B17" s="221"/>
      <c r="C17" s="72">
        <v>-6.1589999999999998</v>
      </c>
      <c r="D17" s="73">
        <v>-2.077</v>
      </c>
    </row>
    <row r="18" spans="1:4" ht="14.7" customHeight="1">
      <c r="A18" s="157" t="s">
        <v>398</v>
      </c>
      <c r="B18" s="293"/>
      <c r="C18" s="106">
        <v>51.341999999999999</v>
      </c>
      <c r="D18" s="107">
        <v>30.626000000000001</v>
      </c>
    </row>
    <row r="19" spans="1:4" ht="14.7" customHeight="1">
      <c r="A19" s="220" t="s">
        <v>308</v>
      </c>
      <c r="B19" s="221"/>
      <c r="C19" s="72">
        <v>0.86399999999999999</v>
      </c>
      <c r="D19" s="73">
        <v>0.307</v>
      </c>
    </row>
    <row r="20" spans="1:4" ht="14.7" customHeight="1">
      <c r="A20" s="220" t="s">
        <v>309</v>
      </c>
      <c r="B20" s="221"/>
      <c r="C20" s="72">
        <v>-6.79</v>
      </c>
      <c r="D20" s="73">
        <v>-4.4409999999999998</v>
      </c>
    </row>
    <row r="21" spans="1:4" ht="14.7" customHeight="1">
      <c r="A21" s="157" t="s">
        <v>310</v>
      </c>
      <c r="B21" s="293"/>
      <c r="C21" s="106">
        <v>-5.9260000000000002</v>
      </c>
      <c r="D21" s="107">
        <v>-4.1340000000000003</v>
      </c>
    </row>
    <row r="22" spans="1:4" ht="14.7" customHeight="1">
      <c r="A22" s="157" t="s">
        <v>311</v>
      </c>
      <c r="B22" s="293"/>
      <c r="C22" s="106">
        <v>45.415999999999997</v>
      </c>
      <c r="D22" s="107">
        <v>26.492000000000001</v>
      </c>
    </row>
    <row r="23" spans="1:4" ht="14.7" customHeight="1">
      <c r="A23" s="220" t="s">
        <v>312</v>
      </c>
      <c r="B23" s="221"/>
      <c r="C23" s="72">
        <v>-3.617</v>
      </c>
      <c r="D23" s="73">
        <v>-3.4380000000000002</v>
      </c>
    </row>
    <row r="24" spans="1:4" ht="14.7" customHeight="1">
      <c r="A24" s="220" t="s">
        <v>313</v>
      </c>
      <c r="B24" s="221"/>
      <c r="C24" s="72">
        <v>-4.7119999999999997</v>
      </c>
      <c r="D24" s="73">
        <v>-0.90400000000000003</v>
      </c>
    </row>
    <row r="25" spans="1:4" ht="14.7" customHeight="1">
      <c r="A25" s="157" t="s">
        <v>314</v>
      </c>
      <c r="B25" s="293"/>
      <c r="C25" s="106">
        <v>37.087000000000003</v>
      </c>
      <c r="D25" s="107">
        <v>22.15</v>
      </c>
    </row>
    <row r="26" spans="1:4" ht="14.7" customHeight="1">
      <c r="A26" s="220"/>
      <c r="B26" s="221"/>
      <c r="C26" s="72"/>
      <c r="D26" s="73"/>
    </row>
    <row r="27" spans="1:4" ht="14.7" customHeight="1">
      <c r="A27" s="111" t="s">
        <v>315</v>
      </c>
      <c r="B27" s="221"/>
      <c r="C27" s="72"/>
      <c r="D27" s="73"/>
    </row>
    <row r="28" spans="1:4" ht="14.7" customHeight="1">
      <c r="A28" s="220" t="s">
        <v>316</v>
      </c>
      <c r="B28" s="221"/>
      <c r="C28" s="72">
        <v>36.636000000000003</v>
      </c>
      <c r="D28" s="73">
        <v>20.38</v>
      </c>
    </row>
    <row r="29" spans="1:4" ht="14.7" customHeight="1">
      <c r="A29" s="220" t="s">
        <v>317</v>
      </c>
      <c r="B29" s="221"/>
      <c r="C29" s="72">
        <v>0.45100000000000001</v>
      </c>
      <c r="D29" s="73">
        <v>1.77</v>
      </c>
    </row>
    <row r="30" spans="1:4" ht="14.7" customHeight="1">
      <c r="A30" s="157" t="s">
        <v>318</v>
      </c>
      <c r="B30" s="293"/>
      <c r="C30" s="106"/>
      <c r="D30" s="107"/>
    </row>
    <row r="31" spans="1:4" ht="26.4">
      <c r="A31" s="157" t="s">
        <v>319</v>
      </c>
      <c r="B31" s="293"/>
      <c r="C31" s="106"/>
      <c r="D31" s="107"/>
    </row>
    <row r="32" spans="1:4" ht="14.7" customHeight="1">
      <c r="A32" s="220" t="s">
        <v>320</v>
      </c>
      <c r="B32" s="221"/>
      <c r="C32" s="72">
        <v>22.547000000000001</v>
      </c>
      <c r="D32" s="73">
        <v>-11.217000000000001</v>
      </c>
    </row>
    <row r="33" spans="1:15" ht="14.7" customHeight="1">
      <c r="A33" s="220" t="s">
        <v>321</v>
      </c>
      <c r="B33" s="221"/>
      <c r="C33" s="72">
        <v>-0.222</v>
      </c>
      <c r="D33" s="73">
        <v>-2.5000000000000001E-2</v>
      </c>
    </row>
    <row r="34" spans="1:15" ht="26.4">
      <c r="A34" s="157" t="s">
        <v>322</v>
      </c>
      <c r="B34" s="293"/>
      <c r="C34" s="106">
        <v>22.324999999999999</v>
      </c>
      <c r="D34" s="107">
        <v>-11.242000000000001</v>
      </c>
    </row>
    <row r="35" spans="1:15" ht="14.7" customHeight="1">
      <c r="A35" s="157" t="s">
        <v>323</v>
      </c>
      <c r="B35" s="293"/>
      <c r="C35" s="106"/>
      <c r="D35" s="107"/>
    </row>
    <row r="36" spans="1:15" ht="26.4">
      <c r="A36" s="220" t="s">
        <v>324</v>
      </c>
      <c r="B36" s="221"/>
      <c r="C36" s="72">
        <v>-1.181</v>
      </c>
      <c r="D36" s="73">
        <v>-2.4350000000000001</v>
      </c>
    </row>
    <row r="37" spans="1:15" ht="26.4">
      <c r="A37" s="157" t="s">
        <v>325</v>
      </c>
      <c r="B37" s="293"/>
      <c r="C37" s="106">
        <v>-1.181</v>
      </c>
      <c r="D37" s="107">
        <v>-2.4350000000000001</v>
      </c>
    </row>
    <row r="38" spans="1:15" ht="14.7" customHeight="1">
      <c r="A38" s="157" t="s">
        <v>326</v>
      </c>
      <c r="B38" s="293"/>
      <c r="C38" s="106">
        <v>21.143999999999998</v>
      </c>
      <c r="D38" s="107">
        <v>-13.677</v>
      </c>
    </row>
    <row r="39" spans="1:15" ht="14.7" customHeight="1">
      <c r="A39" s="157" t="s">
        <v>327</v>
      </c>
      <c r="B39" s="293"/>
      <c r="C39" s="106">
        <v>58.231000000000002</v>
      </c>
      <c r="D39" s="107">
        <v>8.4730000000000008</v>
      </c>
    </row>
    <row r="40" spans="1:15" ht="14.7" customHeight="1">
      <c r="A40" s="111" t="s">
        <v>315</v>
      </c>
      <c r="B40" s="221"/>
      <c r="C40" s="72"/>
      <c r="D40" s="73"/>
    </row>
    <row r="41" spans="1:15" ht="14.7" customHeight="1">
      <c r="A41" s="220" t="s">
        <v>316</v>
      </c>
      <c r="B41" s="221"/>
      <c r="C41" s="72">
        <v>57.363</v>
      </c>
      <c r="D41" s="73">
        <v>6.7039999999999997</v>
      </c>
    </row>
    <row r="42" spans="1:15" ht="14.7" customHeight="1">
      <c r="A42" s="220" t="s">
        <v>317</v>
      </c>
      <c r="B42" s="221"/>
      <c r="C42" s="72">
        <v>0.86799999999999999</v>
      </c>
      <c r="D42" s="73">
        <v>1.7689999999999999</v>
      </c>
    </row>
    <row r="43" spans="1:15" ht="14.7" customHeight="1">
      <c r="A43" s="220"/>
      <c r="B43" s="221"/>
      <c r="C43" s="253"/>
      <c r="D43" s="254"/>
    </row>
    <row r="44" spans="1:15" ht="14.7" customHeight="1">
      <c r="A44" s="297" t="s">
        <v>328</v>
      </c>
      <c r="B44" s="293"/>
      <c r="C44" s="298">
        <v>0.49</v>
      </c>
      <c r="D44" s="299">
        <v>0.38</v>
      </c>
    </row>
    <row r="45" spans="1:15" ht="14.7" customHeight="1">
      <c r="A45" s="297" t="s">
        <v>329</v>
      </c>
      <c r="B45" s="293"/>
      <c r="C45" s="298">
        <v>0.49</v>
      </c>
      <c r="D45" s="299">
        <v>0.38</v>
      </c>
    </row>
    <row r="46" spans="1:15" ht="14.7" customHeight="1">
      <c r="A46" s="297" t="s">
        <v>330</v>
      </c>
      <c r="B46" s="293"/>
      <c r="C46" s="294">
        <v>74283757</v>
      </c>
      <c r="D46" s="295">
        <v>54283757</v>
      </c>
    </row>
    <row r="47" spans="1:15" ht="14.7" customHeight="1">
      <c r="A47" s="376" t="s">
        <v>463</v>
      </c>
      <c r="B47" s="377"/>
      <c r="C47" s="377"/>
      <c r="D47" s="377"/>
      <c r="E47" s="377"/>
      <c r="F47" s="377"/>
      <c r="G47" s="377"/>
      <c r="H47" s="377"/>
      <c r="I47" s="377"/>
      <c r="J47" s="377"/>
      <c r="K47" s="377"/>
      <c r="L47" s="377"/>
      <c r="M47" s="377"/>
      <c r="N47" s="377"/>
      <c r="O47" s="377"/>
    </row>
    <row r="48" spans="1:15" ht="14.7" customHeight="1">
      <c r="A48" s="609" t="s">
        <v>464</v>
      </c>
      <c r="B48" s="609"/>
      <c r="C48" s="609"/>
      <c r="D48" s="609"/>
      <c r="E48" s="609"/>
      <c r="F48" s="609"/>
      <c r="G48" s="609"/>
      <c r="H48" s="609"/>
      <c r="I48" s="609"/>
      <c r="J48" s="609"/>
      <c r="K48" s="609"/>
      <c r="L48" s="609"/>
      <c r="M48" s="609"/>
      <c r="N48" s="609"/>
      <c r="O48" s="609"/>
    </row>
    <row r="49" spans="1:15" ht="14.7" customHeight="1">
      <c r="A49" s="609"/>
      <c r="B49" s="609"/>
      <c r="C49" s="609"/>
      <c r="D49" s="609"/>
      <c r="E49" s="609"/>
      <c r="F49" s="609"/>
      <c r="G49" s="609"/>
      <c r="H49" s="609"/>
      <c r="I49" s="609"/>
      <c r="J49" s="609"/>
      <c r="K49" s="609"/>
      <c r="L49" s="609"/>
      <c r="M49" s="609"/>
      <c r="N49" s="609"/>
      <c r="O49" s="609"/>
    </row>
    <row r="50" spans="1:15" ht="14.7" customHeight="1">
      <c r="A50" s="609"/>
      <c r="B50" s="609"/>
      <c r="C50" s="609"/>
      <c r="D50" s="609"/>
      <c r="E50" s="609"/>
      <c r="F50" s="609"/>
      <c r="G50" s="609"/>
      <c r="H50" s="609"/>
      <c r="I50" s="609"/>
      <c r="J50" s="609"/>
      <c r="K50" s="609"/>
      <c r="L50" s="609"/>
      <c r="M50" s="609"/>
      <c r="N50" s="609"/>
      <c r="O50" s="609"/>
    </row>
  </sheetData>
  <mergeCells count="2">
    <mergeCell ref="A2:C2"/>
    <mergeCell ref="A48:O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D49"/>
  <sheetViews>
    <sheetView zoomScale="80" zoomScaleNormal="80" workbookViewId="0"/>
  </sheetViews>
  <sheetFormatPr defaultColWidth="9.109375" defaultRowHeight="14.7" customHeight="1"/>
  <cols>
    <col min="1" max="1" width="55.6640625" style="33" customWidth="1"/>
    <col min="2" max="2" width="12.6640625" style="12" customWidth="1"/>
    <col min="3" max="4" width="13.6640625" style="12" customWidth="1"/>
    <col min="5" max="16384" width="9.109375" style="12"/>
  </cols>
  <sheetData>
    <row r="1" spans="1:4" ht="39.9" customHeight="1">
      <c r="A1" s="156" t="s">
        <v>86</v>
      </c>
      <c r="B1" s="204"/>
      <c r="C1" s="204"/>
      <c r="D1" s="156"/>
    </row>
    <row r="2" spans="1:4" ht="39.9" customHeight="1" thickBot="1">
      <c r="A2" s="606" t="s">
        <v>647</v>
      </c>
      <c r="B2" s="606"/>
      <c r="C2" s="606"/>
      <c r="D2" s="81"/>
    </row>
    <row r="3" spans="1:4" ht="14.7" customHeight="1">
      <c r="A3" s="32"/>
      <c r="B3" s="11"/>
      <c r="C3" s="11"/>
      <c r="D3" s="11"/>
    </row>
    <row r="4" spans="1:4" ht="14.7" customHeight="1">
      <c r="A4" s="291" t="s">
        <v>478</v>
      </c>
      <c r="B4" s="292"/>
      <c r="C4" s="292"/>
      <c r="D4" s="292"/>
    </row>
    <row r="5" spans="1:4" ht="13.8">
      <c r="A5" s="57"/>
      <c r="B5" s="57"/>
      <c r="C5" s="57" t="s">
        <v>408</v>
      </c>
      <c r="D5" s="57" t="s">
        <v>241</v>
      </c>
    </row>
    <row r="6" spans="1:4" ht="14.7" customHeight="1">
      <c r="A6" s="157" t="s">
        <v>331</v>
      </c>
      <c r="B6" s="157"/>
      <c r="C6" s="106"/>
      <c r="D6" s="107"/>
    </row>
    <row r="7" spans="1:4" ht="14.7" customHeight="1">
      <c r="A7" s="615" t="s">
        <v>332</v>
      </c>
      <c r="B7" s="221"/>
      <c r="C7" s="72">
        <v>37.087000000000003</v>
      </c>
      <c r="D7" s="73">
        <v>22.15</v>
      </c>
    </row>
    <row r="8" spans="1:4" ht="14.7" customHeight="1">
      <c r="A8" s="157" t="s">
        <v>333</v>
      </c>
      <c r="B8" s="293"/>
      <c r="C8" s="106"/>
      <c r="D8" s="107"/>
    </row>
    <row r="9" spans="1:4" ht="14.7" customHeight="1">
      <c r="A9" s="220" t="s">
        <v>467</v>
      </c>
      <c r="B9" s="293"/>
      <c r="C9" s="72">
        <v>1.6E-2</v>
      </c>
      <c r="D9" s="73">
        <v>0</v>
      </c>
    </row>
    <row r="10" spans="1:4" ht="14.7" customHeight="1">
      <c r="A10" s="220" t="s">
        <v>334</v>
      </c>
      <c r="B10" s="221"/>
      <c r="C10" s="72">
        <v>31.759</v>
      </c>
      <c r="D10" s="73">
        <v>29.795999999999999</v>
      </c>
    </row>
    <row r="11" spans="1:4" ht="26.4">
      <c r="A11" s="220" t="s">
        <v>335</v>
      </c>
      <c r="B11" s="221"/>
      <c r="C11" s="72">
        <v>-0.67800000000000005</v>
      </c>
      <c r="D11" s="73">
        <v>0.91200000000000003</v>
      </c>
    </row>
    <row r="12" spans="1:4" ht="14.7" customHeight="1">
      <c r="A12" s="220" t="s">
        <v>336</v>
      </c>
      <c r="B12" s="221"/>
      <c r="C12" s="72">
        <v>-2.3340000000000001</v>
      </c>
      <c r="D12" s="73">
        <v>6.3079999999999998</v>
      </c>
    </row>
    <row r="13" spans="1:4" ht="14.7" customHeight="1">
      <c r="A13" s="220" t="s">
        <v>337</v>
      </c>
      <c r="B13" s="221"/>
      <c r="C13" s="72">
        <v>-0.25800000000000001</v>
      </c>
      <c r="D13" s="73">
        <v>0.70199999999999996</v>
      </c>
    </row>
    <row r="14" spans="1:4" ht="14.7" customHeight="1">
      <c r="A14" s="220" t="s">
        <v>338</v>
      </c>
      <c r="B14" s="221"/>
      <c r="C14" s="72">
        <v>8.3290000000000006</v>
      </c>
      <c r="D14" s="73">
        <v>4.3419999999999996</v>
      </c>
    </row>
    <row r="15" spans="1:4" ht="14.7" customHeight="1">
      <c r="A15" s="220" t="s">
        <v>339</v>
      </c>
      <c r="B15" s="221"/>
      <c r="C15" s="72">
        <v>-2.335</v>
      </c>
      <c r="D15" s="73">
        <v>-2.069</v>
      </c>
    </row>
    <row r="16" spans="1:4" ht="14.7" customHeight="1">
      <c r="A16" s="220" t="s">
        <v>340</v>
      </c>
      <c r="B16" s="221"/>
      <c r="C16" s="72">
        <v>4.7359999999999998</v>
      </c>
      <c r="D16" s="73">
        <v>0.375</v>
      </c>
    </row>
    <row r="17" spans="1:4" ht="26.4">
      <c r="A17" s="220" t="s">
        <v>341</v>
      </c>
      <c r="B17" s="221"/>
      <c r="C17" s="72">
        <v>0.26600000000000001</v>
      </c>
      <c r="D17" s="73">
        <v>-1.4E-2</v>
      </c>
    </row>
    <row r="18" spans="1:4" ht="31.5" customHeight="1">
      <c r="A18" s="220" t="s">
        <v>342</v>
      </c>
      <c r="B18" s="221"/>
      <c r="C18" s="72">
        <v>6.1589999999999998</v>
      </c>
      <c r="D18" s="73">
        <v>2.2170000000000001</v>
      </c>
    </row>
    <row r="19" spans="1:4" ht="14.7" customHeight="1">
      <c r="A19" s="220" t="s">
        <v>343</v>
      </c>
      <c r="B19" s="221"/>
      <c r="C19" s="72">
        <v>-1.6819999999999999</v>
      </c>
      <c r="D19" s="73">
        <v>-9.8000000000000004E-2</v>
      </c>
    </row>
    <row r="20" spans="1:4" ht="14.7" customHeight="1">
      <c r="A20" s="157" t="s">
        <v>344</v>
      </c>
      <c r="B20" s="293"/>
      <c r="C20" s="106"/>
      <c r="D20" s="107"/>
    </row>
    <row r="21" spans="1:4" ht="14.7" customHeight="1">
      <c r="A21" s="220" t="s">
        <v>345</v>
      </c>
      <c r="B21" s="221"/>
      <c r="C21" s="72">
        <v>1.62</v>
      </c>
      <c r="D21" s="73">
        <v>0.46500000000000002</v>
      </c>
    </row>
    <row r="22" spans="1:4" ht="14.7" customHeight="1">
      <c r="A22" s="157" t="s">
        <v>346</v>
      </c>
      <c r="B22" s="293"/>
      <c r="C22" s="106"/>
      <c r="D22" s="107"/>
    </row>
    <row r="23" spans="1:4" ht="14.7" customHeight="1">
      <c r="A23" s="220" t="s">
        <v>347</v>
      </c>
      <c r="B23" s="221"/>
      <c r="C23" s="72">
        <v>-0.245</v>
      </c>
      <c r="D23" s="73">
        <v>-7.0999999999999994E-2</v>
      </c>
    </row>
    <row r="24" spans="1:4" ht="14.7" customHeight="1">
      <c r="A24" s="220" t="s">
        <v>348</v>
      </c>
      <c r="B24" s="221"/>
      <c r="C24" s="72">
        <v>5.8840000000000003</v>
      </c>
      <c r="D24" s="73">
        <v>3.7069999999999999</v>
      </c>
    </row>
    <row r="25" spans="1:4" ht="14.7" customHeight="1">
      <c r="A25" s="220" t="s">
        <v>349</v>
      </c>
      <c r="B25" s="221"/>
      <c r="C25" s="72">
        <v>0.28699999999999998</v>
      </c>
      <c r="D25" s="73">
        <v>0.498</v>
      </c>
    </row>
    <row r="26" spans="1:4" ht="14.7" customHeight="1">
      <c r="A26" s="157" t="s">
        <v>350</v>
      </c>
      <c r="B26" s="293"/>
      <c r="C26" s="106"/>
      <c r="D26" s="107"/>
    </row>
    <row r="27" spans="1:4" ht="14.7" customHeight="1">
      <c r="A27" s="220" t="s">
        <v>351</v>
      </c>
      <c r="B27" s="221"/>
      <c r="C27" s="72">
        <v>-13.032</v>
      </c>
      <c r="D27" s="73">
        <v>-1.1539999999999999</v>
      </c>
    </row>
    <row r="28" spans="1:4" ht="26.4">
      <c r="A28" s="220" t="s">
        <v>352</v>
      </c>
      <c r="B28" s="221"/>
      <c r="C28" s="72">
        <v>-22.536000000000001</v>
      </c>
      <c r="D28" s="73">
        <v>7.7759999999999998</v>
      </c>
    </row>
    <row r="29" spans="1:4" ht="26.4">
      <c r="A29" s="220" t="s">
        <v>353</v>
      </c>
      <c r="B29" s="221"/>
      <c r="C29" s="72">
        <v>14.583</v>
      </c>
      <c r="D29" s="73">
        <v>1.528</v>
      </c>
    </row>
    <row r="30" spans="1:4" ht="14.7" customHeight="1">
      <c r="A30" s="111" t="s">
        <v>185</v>
      </c>
      <c r="B30" s="221"/>
      <c r="C30" s="72">
        <v>-1.802</v>
      </c>
      <c r="D30" s="73">
        <v>-0.59099999999999997</v>
      </c>
    </row>
    <row r="31" spans="1:4" ht="14.7" customHeight="1">
      <c r="A31" s="157" t="s">
        <v>354</v>
      </c>
      <c r="B31" s="293"/>
      <c r="C31" s="106">
        <v>65.823999999999998</v>
      </c>
      <c r="D31" s="107">
        <v>76.778999999999996</v>
      </c>
    </row>
    <row r="32" spans="1:4" ht="14.7" customHeight="1">
      <c r="A32" s="157" t="s">
        <v>355</v>
      </c>
      <c r="B32" s="293"/>
      <c r="C32" s="106"/>
      <c r="D32" s="107"/>
    </row>
    <row r="33" spans="1:4" ht="14.7" customHeight="1">
      <c r="A33" s="220" t="s">
        <v>356</v>
      </c>
      <c r="B33" s="221"/>
      <c r="C33" s="72">
        <v>-46.686</v>
      </c>
      <c r="D33" s="73">
        <v>-65.787999999999997</v>
      </c>
    </row>
    <row r="34" spans="1:4" ht="24.45" customHeight="1">
      <c r="A34" s="220" t="s">
        <v>190</v>
      </c>
      <c r="B34" s="221"/>
      <c r="C34" s="72">
        <v>0.56899999999999995</v>
      </c>
      <c r="D34" s="73">
        <v>4.2069999999999999</v>
      </c>
    </row>
    <row r="35" spans="1:4" ht="14.7" customHeight="1">
      <c r="A35" s="220" t="s">
        <v>188</v>
      </c>
      <c r="B35" s="221"/>
      <c r="C35" s="72">
        <v>7.7880000000000003</v>
      </c>
      <c r="D35" s="73">
        <v>5.742</v>
      </c>
    </row>
    <row r="36" spans="1:4" ht="14.7" customHeight="1">
      <c r="A36" s="220" t="s">
        <v>183</v>
      </c>
      <c r="B36" s="221"/>
      <c r="C36" s="72">
        <v>0.12</v>
      </c>
      <c r="D36" s="73">
        <v>0.17</v>
      </c>
    </row>
    <row r="37" spans="1:4" ht="14.7" customHeight="1">
      <c r="A37" s="220" t="s">
        <v>357</v>
      </c>
      <c r="B37" s="221"/>
      <c r="C37" s="72">
        <v>0.53300000000000003</v>
      </c>
      <c r="D37" s="73">
        <v>0.46700000000000003</v>
      </c>
    </row>
    <row r="38" spans="1:4" ht="14.7" customHeight="1">
      <c r="A38" s="157" t="s">
        <v>358</v>
      </c>
      <c r="B38" s="293"/>
      <c r="C38" s="106">
        <v>-37.676000000000002</v>
      </c>
      <c r="D38" s="107">
        <v>-55.201999999999998</v>
      </c>
    </row>
    <row r="39" spans="1:4" ht="14.7" customHeight="1">
      <c r="A39" s="157" t="s">
        <v>359</v>
      </c>
      <c r="B39" s="293"/>
      <c r="C39" s="106"/>
      <c r="D39" s="107"/>
    </row>
    <row r="40" spans="1:4" ht="14.7" customHeight="1">
      <c r="A40" s="220" t="s">
        <v>360</v>
      </c>
      <c r="B40" s="221"/>
      <c r="C40" s="72">
        <v>0</v>
      </c>
      <c r="D40" s="73">
        <v>16.405999999999999</v>
      </c>
    </row>
    <row r="41" spans="1:4" ht="14.7" customHeight="1">
      <c r="A41" s="220" t="s">
        <v>361</v>
      </c>
      <c r="B41" s="221"/>
      <c r="C41" s="72">
        <v>-3.129</v>
      </c>
      <c r="D41" s="73">
        <v>-14.56</v>
      </c>
    </row>
    <row r="42" spans="1:4" ht="14.7" customHeight="1">
      <c r="A42" s="220" t="s">
        <v>362</v>
      </c>
      <c r="B42" s="221"/>
      <c r="C42" s="72">
        <v>-9.2170000000000005</v>
      </c>
      <c r="D42" s="73">
        <v>-2.044</v>
      </c>
    </row>
    <row r="43" spans="1:4" ht="14.7" customHeight="1">
      <c r="A43" s="220" t="s">
        <v>184</v>
      </c>
      <c r="B43" s="221"/>
      <c r="C43" s="72">
        <v>-1.7849999999999999</v>
      </c>
      <c r="D43" s="73">
        <v>-1.385</v>
      </c>
    </row>
    <row r="44" spans="1:4" ht="14.7" customHeight="1">
      <c r="A44" s="220" t="s">
        <v>363</v>
      </c>
      <c r="B44" s="221"/>
      <c r="C44" s="72">
        <v>-4.0000000000000001E-3</v>
      </c>
      <c r="D44" s="73">
        <v>-2.7E-2</v>
      </c>
    </row>
    <row r="45" spans="1:4" ht="14.7" customHeight="1">
      <c r="A45" s="157" t="s">
        <v>364</v>
      </c>
      <c r="B45" s="293"/>
      <c r="C45" s="106">
        <v>-14.135</v>
      </c>
      <c r="D45" s="107">
        <v>-1.61</v>
      </c>
    </row>
    <row r="46" spans="1:4" ht="26.4">
      <c r="A46" s="157" t="s">
        <v>365</v>
      </c>
      <c r="B46" s="293"/>
      <c r="C46" s="106">
        <v>14.013</v>
      </c>
      <c r="D46" s="107">
        <v>19.966999999999999</v>
      </c>
    </row>
    <row r="47" spans="1:4" ht="26.4">
      <c r="A47" s="220" t="s">
        <v>366</v>
      </c>
      <c r="B47" s="221"/>
      <c r="C47" s="72">
        <v>658.79499999999996</v>
      </c>
      <c r="D47" s="73">
        <v>-59.454000000000001</v>
      </c>
    </row>
    <row r="48" spans="1:4" ht="26.4">
      <c r="A48" s="157" t="s">
        <v>367</v>
      </c>
      <c r="B48" s="293"/>
      <c r="C48" s="106">
        <v>672.80799999999999</v>
      </c>
      <c r="D48" s="107">
        <v>-39.487000000000002</v>
      </c>
    </row>
    <row r="49" spans="3:4" ht="14.7" customHeight="1">
      <c r="C49" s="22"/>
      <c r="D49" s="22"/>
    </row>
  </sheetData>
  <mergeCells count="1">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4.4"/>
  <cols>
    <col min="1" max="1" width="8.33203125" customWidth="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27"/>
  <sheetViews>
    <sheetView showGridLines="0" zoomScale="80" zoomScaleNormal="80" workbookViewId="0">
      <pane xSplit="1" ySplit="5" topLeftCell="B6" activePane="bottomRight" state="frozen"/>
      <selection pane="topRight"/>
      <selection pane="bottomLeft"/>
      <selection pane="bottomRight"/>
    </sheetView>
  </sheetViews>
  <sheetFormatPr defaultColWidth="13.33203125" defaultRowHeight="13.2"/>
  <cols>
    <col min="1" max="1" width="35.6640625" style="384" customWidth="1"/>
    <col min="2" max="14" width="16.33203125" style="384" customWidth="1"/>
    <col min="15" max="16384" width="13.33203125" style="384"/>
  </cols>
  <sheetData>
    <row r="1" spans="1:31" ht="39.75" customHeight="1">
      <c r="A1" s="156" t="s">
        <v>86</v>
      </c>
    </row>
    <row r="2" spans="1:31" ht="39.75" customHeight="1" thickBot="1">
      <c r="A2" s="385" t="s">
        <v>480</v>
      </c>
      <c r="B2" s="385"/>
      <c r="C2" s="385"/>
      <c r="D2" s="385"/>
      <c r="E2" s="385"/>
      <c r="F2" s="385"/>
      <c r="G2" s="385"/>
      <c r="H2" s="385"/>
      <c r="I2" s="385"/>
      <c r="J2" s="385"/>
      <c r="K2" s="385"/>
      <c r="L2" s="385"/>
      <c r="M2" s="385"/>
      <c r="N2" s="385"/>
    </row>
    <row r="4" spans="1:31" s="388" customFormat="1" ht="13.8" thickBot="1">
      <c r="A4" s="386" t="s">
        <v>552</v>
      </c>
      <c r="B4" s="387"/>
      <c r="E4" s="389"/>
      <c r="F4" s="390"/>
      <c r="H4" s="391"/>
      <c r="M4" s="384"/>
      <c r="N4" s="384"/>
      <c r="O4" s="384"/>
      <c r="P4" s="384"/>
      <c r="Q4" s="384"/>
      <c r="R4" s="384"/>
      <c r="S4" s="384"/>
      <c r="T4" s="384"/>
      <c r="U4" s="384"/>
      <c r="V4" s="384"/>
      <c r="W4" s="384"/>
      <c r="X4" s="384"/>
      <c r="Y4" s="384"/>
      <c r="Z4" s="384"/>
      <c r="AA4" s="384"/>
      <c r="AB4" s="384"/>
      <c r="AC4" s="384"/>
      <c r="AD4" s="384"/>
      <c r="AE4" s="384"/>
    </row>
    <row r="5" spans="1:31" s="396" customFormat="1" ht="57" customHeight="1" thickBot="1">
      <c r="A5" s="392"/>
      <c r="B5" s="392" t="s">
        <v>531</v>
      </c>
      <c r="C5" s="392" t="s">
        <v>532</v>
      </c>
      <c r="D5" s="392" t="s">
        <v>533</v>
      </c>
      <c r="E5" s="392" t="s">
        <v>534</v>
      </c>
      <c r="F5" s="393" t="s">
        <v>535</v>
      </c>
      <c r="G5" s="393" t="s">
        <v>536</v>
      </c>
      <c r="H5" s="394" t="s">
        <v>537</v>
      </c>
      <c r="I5" s="394" t="s">
        <v>538</v>
      </c>
      <c r="J5" s="393" t="s">
        <v>539</v>
      </c>
      <c r="K5" s="392" t="s">
        <v>542</v>
      </c>
      <c r="L5" s="392" t="s">
        <v>540</v>
      </c>
      <c r="M5" s="392" t="s">
        <v>541</v>
      </c>
      <c r="N5" s="395" t="s">
        <v>543</v>
      </c>
      <c r="O5" s="384"/>
      <c r="P5" s="384"/>
      <c r="Q5" s="384"/>
      <c r="R5" s="384"/>
      <c r="S5" s="384"/>
      <c r="T5" s="384"/>
      <c r="U5" s="384"/>
      <c r="V5" s="384"/>
      <c r="W5" s="384"/>
      <c r="X5" s="384"/>
      <c r="Y5" s="384"/>
      <c r="Z5" s="384"/>
      <c r="AA5" s="384"/>
      <c r="AB5" s="384"/>
      <c r="AC5" s="384"/>
      <c r="AD5" s="384"/>
      <c r="AE5" s="384"/>
    </row>
    <row r="6" spans="1:31" s="388" customFormat="1" ht="13.5" customHeight="1">
      <c r="A6" s="397" t="s">
        <v>489</v>
      </c>
      <c r="B6" s="398" t="s">
        <v>544</v>
      </c>
      <c r="C6" s="399">
        <v>1</v>
      </c>
      <c r="D6" s="398" t="s">
        <v>545</v>
      </c>
      <c r="E6" s="398" t="s">
        <v>22</v>
      </c>
      <c r="F6" s="398" t="s">
        <v>588</v>
      </c>
      <c r="G6" s="398">
        <v>19</v>
      </c>
      <c r="H6" s="400">
        <f>AVERAGE('Vėjo duomenys'!F7:N7,'Vėjo duomenys'!P7:R7)*4</f>
        <v>48.816440999999998</v>
      </c>
      <c r="I6" s="401">
        <f>H6/(G6*8670)*1000</f>
        <v>0.29634214168639589</v>
      </c>
      <c r="J6" s="398" t="s">
        <v>491</v>
      </c>
      <c r="K6" s="398">
        <v>87</v>
      </c>
      <c r="L6" s="402" t="s">
        <v>640</v>
      </c>
      <c r="M6" s="400">
        <f>SUM('Vėjo duomenys'!F7,'Vėjo duomenys'!H7:J7)</f>
        <v>47.695294000000004</v>
      </c>
      <c r="N6" s="403"/>
      <c r="O6" s="384"/>
      <c r="P6" s="384"/>
      <c r="Q6" s="384"/>
      <c r="R6" s="384"/>
      <c r="S6" s="384"/>
      <c r="T6" s="384"/>
      <c r="U6" s="384"/>
      <c r="V6" s="384"/>
      <c r="W6" s="384"/>
      <c r="X6" s="384"/>
      <c r="Y6" s="384"/>
      <c r="Z6" s="384"/>
      <c r="AA6" s="384"/>
      <c r="AB6" s="384"/>
      <c r="AC6" s="384"/>
      <c r="AD6" s="384"/>
      <c r="AE6" s="384"/>
    </row>
    <row r="7" spans="1:31" s="388" customFormat="1" ht="13.5" customHeight="1">
      <c r="A7" s="397" t="s">
        <v>492</v>
      </c>
      <c r="B7" s="398" t="s">
        <v>544</v>
      </c>
      <c r="C7" s="401">
        <v>1</v>
      </c>
      <c r="D7" s="398" t="s">
        <v>545</v>
      </c>
      <c r="E7" s="398" t="s">
        <v>22</v>
      </c>
      <c r="F7" s="398" t="s">
        <v>589</v>
      </c>
      <c r="G7" s="398">
        <v>15</v>
      </c>
      <c r="H7" s="400">
        <f>AVERAGE('Vėjo duomenys'!F8:N8,'Vėjo duomenys'!P8:R8)*4</f>
        <v>35.872837000000004</v>
      </c>
      <c r="I7" s="401">
        <f>H7/(G7*8670)*1000</f>
        <v>0.27583880815071132</v>
      </c>
      <c r="J7" s="398" t="s">
        <v>491</v>
      </c>
      <c r="K7" s="398">
        <v>87</v>
      </c>
      <c r="L7" s="404" t="s">
        <v>641</v>
      </c>
      <c r="M7" s="400">
        <f>SUM('Vėjo duomenys'!F8,'Vėjo duomenys'!H8:J8)</f>
        <v>34.742446999999999</v>
      </c>
      <c r="N7" s="403"/>
      <c r="O7" s="384"/>
      <c r="P7" s="384"/>
      <c r="Q7" s="384"/>
      <c r="R7" s="384"/>
      <c r="S7" s="384"/>
      <c r="T7" s="384"/>
      <c r="U7" s="384"/>
      <c r="V7" s="384"/>
      <c r="W7" s="384"/>
      <c r="X7" s="384"/>
      <c r="Y7" s="384"/>
      <c r="Z7" s="384"/>
      <c r="AA7" s="384"/>
      <c r="AB7" s="384"/>
      <c r="AC7" s="384"/>
      <c r="AD7" s="384"/>
      <c r="AE7" s="384"/>
    </row>
    <row r="8" spans="1:31" s="388" customFormat="1" ht="13.5" customHeight="1">
      <c r="A8" s="397" t="s">
        <v>493</v>
      </c>
      <c r="B8" s="398" t="s">
        <v>544</v>
      </c>
      <c r="C8" s="401">
        <v>1</v>
      </c>
      <c r="D8" s="398" t="s">
        <v>545</v>
      </c>
      <c r="E8" s="398" t="s">
        <v>546</v>
      </c>
      <c r="F8" s="398" t="s">
        <v>590</v>
      </c>
      <c r="G8" s="398">
        <v>18</v>
      </c>
      <c r="H8" s="400">
        <f>AVERAGE('Vėjo duomenys'!F9:N9,'Vėjo duomenys'!P9:R9)*4</f>
        <v>54.768600333333332</v>
      </c>
      <c r="I8" s="401">
        <f>H8/(G8*8670)*1000</f>
        <v>0.35094579221666883</v>
      </c>
      <c r="J8" s="398" t="s">
        <v>548</v>
      </c>
      <c r="K8" s="398">
        <v>54</v>
      </c>
      <c r="L8" s="404" t="s">
        <v>642</v>
      </c>
      <c r="M8" s="400">
        <f>SUM('Vėjo duomenys'!F9,'Vėjo duomenys'!H9:J9)</f>
        <v>54.469038999999995</v>
      </c>
      <c r="N8" s="403"/>
      <c r="O8" s="384"/>
      <c r="P8" s="384"/>
      <c r="Q8" s="384"/>
      <c r="R8" s="384"/>
      <c r="S8" s="384"/>
      <c r="T8" s="384"/>
      <c r="U8" s="384"/>
      <c r="V8" s="384"/>
      <c r="W8" s="384"/>
      <c r="X8" s="384"/>
      <c r="Y8" s="384"/>
      <c r="Z8" s="384"/>
      <c r="AA8" s="384"/>
      <c r="AB8" s="384"/>
      <c r="AC8" s="384"/>
      <c r="AD8" s="384"/>
      <c r="AE8" s="384"/>
    </row>
    <row r="9" spans="1:31" s="405" customFormat="1" ht="13.5" customHeight="1">
      <c r="A9" s="397" t="s">
        <v>495</v>
      </c>
      <c r="B9" s="398" t="s">
        <v>544</v>
      </c>
      <c r="C9" s="401">
        <v>1</v>
      </c>
      <c r="D9" s="398" t="s">
        <v>545</v>
      </c>
      <c r="E9" s="398" t="s">
        <v>22</v>
      </c>
      <c r="F9" s="398" t="s">
        <v>591</v>
      </c>
      <c r="G9" s="398">
        <v>24</v>
      </c>
      <c r="H9" s="400">
        <f>AVERAGE('Vėjo duomenys'!F10:N10,'Vėjo duomenys'!P10:R10)*4</f>
        <v>78.105007666666637</v>
      </c>
      <c r="I9" s="401">
        <f>H9/(G9*8670)*1000</f>
        <v>0.37536047513776738</v>
      </c>
      <c r="J9" s="398" t="s">
        <v>491</v>
      </c>
      <c r="K9" s="398">
        <v>71</v>
      </c>
      <c r="L9" s="404" t="s">
        <v>643</v>
      </c>
      <c r="M9" s="400">
        <f>SUM('Vėjo duomenys'!F10,'Vėjo duomenys'!H10:J10)</f>
        <v>74.119644999999991</v>
      </c>
      <c r="N9" s="403"/>
      <c r="O9" s="384"/>
      <c r="P9" s="384"/>
      <c r="Q9" s="384"/>
      <c r="R9" s="384"/>
      <c r="S9" s="384"/>
      <c r="T9" s="384"/>
      <c r="U9" s="384"/>
      <c r="V9" s="384"/>
      <c r="W9" s="384"/>
      <c r="X9" s="384"/>
      <c r="Y9" s="384"/>
      <c r="Z9" s="384"/>
      <c r="AA9" s="384"/>
      <c r="AB9" s="384"/>
      <c r="AC9" s="384"/>
      <c r="AD9" s="384"/>
      <c r="AE9" s="384"/>
    </row>
    <row r="10" spans="1:31" s="411" customFormat="1" ht="13.5" customHeight="1">
      <c r="A10" s="406" t="s">
        <v>578</v>
      </c>
      <c r="B10" s="407" t="s">
        <v>544</v>
      </c>
      <c r="C10" s="408"/>
      <c r="D10" s="407"/>
      <c r="E10" s="407"/>
      <c r="F10" s="407"/>
      <c r="G10" s="407">
        <f>SUM(G6:G9)</f>
        <v>76</v>
      </c>
      <c r="H10" s="409">
        <f t="shared" ref="H10" si="0">SUM(H6:H9)</f>
        <v>217.56288599999996</v>
      </c>
      <c r="I10" s="401">
        <f>H10/(G10*8670)*1000</f>
        <v>0.330181032598798</v>
      </c>
      <c r="J10" s="407"/>
      <c r="K10" s="407"/>
      <c r="L10" s="407"/>
      <c r="M10" s="409"/>
      <c r="N10" s="410"/>
      <c r="O10" s="384"/>
      <c r="P10" s="384"/>
      <c r="Q10" s="384"/>
      <c r="R10" s="384"/>
      <c r="S10" s="384"/>
      <c r="T10" s="384"/>
      <c r="U10" s="384"/>
      <c r="V10" s="384"/>
      <c r="W10" s="384"/>
      <c r="X10" s="384"/>
      <c r="Y10" s="384"/>
      <c r="Z10" s="384"/>
      <c r="AA10" s="384"/>
      <c r="AB10" s="384"/>
      <c r="AC10" s="384"/>
      <c r="AD10" s="384"/>
      <c r="AE10" s="384"/>
    </row>
    <row r="11" spans="1:31" s="388" customFormat="1" ht="13.5" customHeight="1">
      <c r="A11" s="397" t="s">
        <v>496</v>
      </c>
      <c r="B11" s="398" t="s">
        <v>544</v>
      </c>
      <c r="C11" s="401">
        <v>1</v>
      </c>
      <c r="D11" s="398" t="s">
        <v>545</v>
      </c>
      <c r="E11" s="398" t="s">
        <v>547</v>
      </c>
      <c r="F11" s="398" t="s">
        <v>592</v>
      </c>
      <c r="G11" s="398">
        <v>94</v>
      </c>
      <c r="H11" s="412">
        <f>G11*8670*I11/1000</f>
        <v>325.99200000000002</v>
      </c>
      <c r="I11" s="401">
        <v>0.4</v>
      </c>
      <c r="J11" s="398" t="s">
        <v>549</v>
      </c>
      <c r="K11" s="413" t="s">
        <v>498</v>
      </c>
      <c r="L11" s="404" t="s">
        <v>644</v>
      </c>
      <c r="M11" s="412" t="s">
        <v>499</v>
      </c>
      <c r="N11" s="400">
        <v>130</v>
      </c>
      <c r="O11" s="384"/>
      <c r="P11" s="384"/>
      <c r="Q11" s="384"/>
      <c r="R11" s="384"/>
      <c r="S11" s="384"/>
      <c r="T11" s="384"/>
      <c r="U11" s="384"/>
      <c r="V11" s="384"/>
      <c r="W11" s="384"/>
      <c r="X11" s="384"/>
      <c r="Y11" s="384"/>
      <c r="Z11" s="384"/>
      <c r="AA11" s="384"/>
      <c r="AB11" s="384"/>
      <c r="AC11" s="384"/>
      <c r="AD11" s="384"/>
      <c r="AE11" s="384"/>
    </row>
    <row r="12" spans="1:31" s="388" customFormat="1" ht="13.5" customHeight="1">
      <c r="A12" s="397" t="s">
        <v>500</v>
      </c>
      <c r="B12" s="398" t="s">
        <v>544</v>
      </c>
      <c r="C12" s="401">
        <v>1</v>
      </c>
      <c r="D12" s="398" t="s">
        <v>545</v>
      </c>
      <c r="E12" s="398" t="s">
        <v>22</v>
      </c>
      <c r="F12" s="398" t="s">
        <v>593</v>
      </c>
      <c r="G12" s="398">
        <v>63</v>
      </c>
      <c r="H12" s="400">
        <f>G12*8670*I12/1000</f>
        <v>218.48400000000001</v>
      </c>
      <c r="I12" s="401">
        <v>0.4</v>
      </c>
      <c r="J12" s="398"/>
      <c r="K12" s="398"/>
      <c r="L12" s="398"/>
      <c r="M12" s="412" t="s">
        <v>501</v>
      </c>
      <c r="N12" s="403" t="s">
        <v>502</v>
      </c>
      <c r="O12" s="384"/>
      <c r="P12" s="384"/>
      <c r="Q12" s="384"/>
      <c r="R12" s="384"/>
      <c r="S12" s="384"/>
      <c r="T12" s="384"/>
      <c r="U12" s="384"/>
      <c r="V12" s="384"/>
      <c r="W12" s="384"/>
      <c r="X12" s="384"/>
      <c r="Y12" s="384"/>
      <c r="Z12" s="384"/>
      <c r="AA12" s="384"/>
      <c r="AB12" s="384"/>
      <c r="AC12" s="384"/>
      <c r="AD12" s="384"/>
      <c r="AE12" s="384"/>
    </row>
    <row r="13" spans="1:31" s="411" customFormat="1" ht="13.5" customHeight="1" collapsed="1">
      <c r="A13" s="406" t="s">
        <v>579</v>
      </c>
      <c r="B13" s="407" t="s">
        <v>544</v>
      </c>
      <c r="C13" s="408"/>
      <c r="D13" s="407"/>
      <c r="E13" s="407"/>
      <c r="F13" s="407"/>
      <c r="G13" s="407">
        <f>SUM(G11:G12)</f>
        <v>157</v>
      </c>
      <c r="H13" s="409">
        <f>SUM(H11:H12)</f>
        <v>544.476</v>
      </c>
      <c r="I13" s="414">
        <f>H13/(G13*8670)*1000</f>
        <v>0.4</v>
      </c>
      <c r="J13" s="407"/>
      <c r="K13" s="407"/>
      <c r="L13" s="407"/>
      <c r="M13" s="409"/>
      <c r="N13" s="407" t="s">
        <v>503</v>
      </c>
      <c r="O13" s="384"/>
      <c r="P13" s="384"/>
      <c r="Q13" s="384"/>
      <c r="R13" s="384"/>
      <c r="S13" s="384"/>
      <c r="T13" s="384"/>
      <c r="U13" s="384"/>
      <c r="V13" s="384"/>
      <c r="W13" s="384"/>
      <c r="X13" s="384"/>
      <c r="Y13" s="384"/>
      <c r="Z13" s="384"/>
      <c r="AA13" s="384"/>
      <c r="AB13" s="384"/>
      <c r="AC13" s="384"/>
      <c r="AD13" s="384"/>
      <c r="AE13" s="384"/>
    </row>
    <row r="14" spans="1:31" ht="13.5" customHeight="1">
      <c r="A14" s="415" t="s">
        <v>550</v>
      </c>
    </row>
    <row r="15" spans="1:31" ht="13.5" customHeight="1">
      <c r="A15" s="596" t="s">
        <v>639</v>
      </c>
      <c r="L15" s="416"/>
      <c r="O15" s="417"/>
    </row>
    <row r="16" spans="1:31" ht="13.5" customHeight="1">
      <c r="A16" s="596" t="s">
        <v>594</v>
      </c>
      <c r="L16" s="416"/>
      <c r="O16" s="417"/>
    </row>
    <row r="17" spans="1:13" ht="13.5" customHeight="1">
      <c r="A17" s="415" t="s">
        <v>551</v>
      </c>
      <c r="M17" s="416"/>
    </row>
    <row r="18" spans="1:13" ht="13.5" customHeight="1"/>
    <row r="19" spans="1:13" ht="13.5" customHeight="1"/>
    <row r="20" spans="1:13" ht="13.5" customHeight="1"/>
    <row r="21" spans="1:13" ht="13.5" customHeight="1"/>
    <row r="22" spans="1:13" ht="13.5" customHeight="1"/>
    <row r="23" spans="1:13" ht="13.5" customHeight="1"/>
    <row r="24" spans="1:13" ht="13.5" customHeight="1"/>
    <row r="25" spans="1:13" ht="13.5" customHeight="1"/>
    <row r="26" spans="1:13" ht="13.5" customHeight="1"/>
    <row r="27" spans="1:13" ht="13.5" customHeight="1"/>
  </sheetData>
  <conditionalFormatting sqref="D4">
    <cfRule type="expression" dxfId="268" priority="40">
      <formula>K4=0</formula>
    </cfRule>
  </conditionalFormatting>
  <conditionalFormatting sqref="E4:F4">
    <cfRule type="expression" dxfId="267" priority="39">
      <formula>K4=0</formula>
    </cfRule>
  </conditionalFormatting>
  <conditionalFormatting sqref="K11">
    <cfRule type="expression" dxfId="266" priority="38">
      <formula>#REF!=0</formula>
    </cfRule>
  </conditionalFormatting>
  <conditionalFormatting sqref="L6:L9 G13 H6:H10">
    <cfRule type="expression" dxfId="265" priority="37">
      <formula>#REF!=0</formula>
    </cfRule>
  </conditionalFormatting>
  <conditionalFormatting sqref="J6:K7">
    <cfRule type="expression" dxfId="264" priority="36">
      <formula>#REF!=0</formula>
    </cfRule>
  </conditionalFormatting>
  <conditionalFormatting sqref="J8:K8">
    <cfRule type="expression" dxfId="263" priority="35">
      <formula>#REF!=0</formula>
    </cfRule>
  </conditionalFormatting>
  <conditionalFormatting sqref="J9:K9">
    <cfRule type="expression" dxfId="262" priority="33">
      <formula>#REF!=0</formula>
    </cfRule>
  </conditionalFormatting>
  <conditionalFormatting sqref="F6:F7">
    <cfRule type="expression" dxfId="261" priority="32">
      <formula>#REF!=0</formula>
    </cfRule>
  </conditionalFormatting>
  <conditionalFormatting sqref="F8">
    <cfRule type="expression" dxfId="260" priority="31">
      <formula>#REF!=0</formula>
    </cfRule>
  </conditionalFormatting>
  <conditionalFormatting sqref="F9">
    <cfRule type="expression" dxfId="259" priority="30">
      <formula>#REF!=0</formula>
    </cfRule>
  </conditionalFormatting>
  <conditionalFormatting sqref="L10">
    <cfRule type="expression" dxfId="258" priority="29">
      <formula>#REF!=0</formula>
    </cfRule>
  </conditionalFormatting>
  <conditionalFormatting sqref="J10:K10">
    <cfRule type="expression" dxfId="257" priority="27">
      <formula>#REF!=0</formula>
    </cfRule>
  </conditionalFormatting>
  <conditionalFormatting sqref="F10">
    <cfRule type="expression" dxfId="256" priority="26">
      <formula>#REF!=0</formula>
    </cfRule>
  </conditionalFormatting>
  <conditionalFormatting sqref="F11:F12">
    <cfRule type="expression" dxfId="255" priority="24">
      <formula>#REF!=0</formula>
    </cfRule>
  </conditionalFormatting>
  <conditionalFormatting sqref="J11:J12 K12:L12">
    <cfRule type="expression" dxfId="254" priority="23">
      <formula>#REF!=0</formula>
    </cfRule>
  </conditionalFormatting>
  <conditionalFormatting sqref="L13">
    <cfRule type="expression" dxfId="253" priority="22">
      <formula>#REF!=0</formula>
    </cfRule>
  </conditionalFormatting>
  <conditionalFormatting sqref="J13:K13">
    <cfRule type="expression" dxfId="252" priority="21">
      <formula>#REF!=0</formula>
    </cfRule>
  </conditionalFormatting>
  <conditionalFormatting sqref="F13">
    <cfRule type="expression" dxfId="251" priority="20">
      <formula>#REF!=0</formula>
    </cfRule>
  </conditionalFormatting>
  <conditionalFormatting sqref="D13">
    <cfRule type="expression" dxfId="250" priority="19">
      <formula>P13=0</formula>
    </cfRule>
  </conditionalFormatting>
  <conditionalFormatting sqref="N10">
    <cfRule type="expression" dxfId="249" priority="17">
      <formula>AF10=0</formula>
    </cfRule>
  </conditionalFormatting>
  <conditionalFormatting sqref="N6:N9">
    <cfRule type="expression" dxfId="248" priority="16">
      <formula>AF6=0</formula>
    </cfRule>
  </conditionalFormatting>
  <conditionalFormatting sqref="N6:N10">
    <cfRule type="expression" dxfId="247" priority="18">
      <formula>AD6=0</formula>
    </cfRule>
  </conditionalFormatting>
  <conditionalFormatting sqref="L11">
    <cfRule type="expression" dxfId="246" priority="15">
      <formula>#REF!=0</formula>
    </cfRule>
  </conditionalFormatting>
  <conditionalFormatting sqref="N13">
    <cfRule type="expression" dxfId="245" priority="14">
      <formula>#REF!=0</formula>
    </cfRule>
  </conditionalFormatting>
  <conditionalFormatting sqref="G12">
    <cfRule type="expression" dxfId="244" priority="13">
      <formula>#REF!=0</formula>
    </cfRule>
  </conditionalFormatting>
  <conditionalFormatting sqref="G6:G11">
    <cfRule type="expression" dxfId="243" priority="12">
      <formula>#REF!=0</formula>
    </cfRule>
  </conditionalFormatting>
  <conditionalFormatting sqref="H11:H12">
    <cfRule type="expression" dxfId="242" priority="11">
      <formula>#REF!=0</formula>
    </cfRule>
  </conditionalFormatting>
  <conditionalFormatting sqref="H13">
    <cfRule type="expression" dxfId="241" priority="10">
      <formula>#REF!=0</formula>
    </cfRule>
  </conditionalFormatting>
  <conditionalFormatting sqref="M13">
    <cfRule type="expression" dxfId="240" priority="7">
      <formula>#REF!=0</formula>
    </cfRule>
  </conditionalFormatting>
  <conditionalFormatting sqref="C10 C13">
    <cfRule type="expression" dxfId="239" priority="41">
      <formula>N10=0</formula>
    </cfRule>
  </conditionalFormatting>
  <conditionalFormatting sqref="M6:M10">
    <cfRule type="expression" dxfId="238" priority="9">
      <formula>#REF!=0</formula>
    </cfRule>
  </conditionalFormatting>
  <conditionalFormatting sqref="M11:M12">
    <cfRule type="expression" dxfId="237" priority="8">
      <formula>#REF!=0</formula>
    </cfRule>
  </conditionalFormatting>
  <conditionalFormatting sqref="N12">
    <cfRule type="expression" dxfId="236" priority="5">
      <formula>AF12=0</formula>
    </cfRule>
  </conditionalFormatting>
  <conditionalFormatting sqref="N12">
    <cfRule type="expression" dxfId="235" priority="6">
      <formula>AD12=0</formula>
    </cfRule>
  </conditionalFormatting>
  <conditionalFormatting sqref="N11">
    <cfRule type="expression" dxfId="234" priority="4">
      <formula>#REF!=0</formula>
    </cfRule>
  </conditionalFormatting>
  <conditionalFormatting sqref="D6:D9">
    <cfRule type="expression" dxfId="233" priority="3">
      <formula>V6=0</formula>
    </cfRule>
  </conditionalFormatting>
  <conditionalFormatting sqref="D10">
    <cfRule type="expression" dxfId="232" priority="2">
      <formula>V10=0</formula>
    </cfRule>
  </conditionalFormatting>
  <conditionalFormatting sqref="D11:D12">
    <cfRule type="expression" dxfId="231" priority="1">
      <formula>V11=0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2"/>
  <sheetViews>
    <sheetView showGridLines="0" zoomScale="80" zoomScaleNormal="80" workbookViewId="0"/>
  </sheetViews>
  <sheetFormatPr defaultColWidth="13.33203125" defaultRowHeight="13.2"/>
  <cols>
    <col min="1" max="1" width="35.6640625" style="384" customWidth="1"/>
    <col min="2" max="15" width="16.33203125" style="384" customWidth="1"/>
    <col min="16" max="16384" width="13.33203125" style="384"/>
  </cols>
  <sheetData>
    <row r="1" spans="1:21" ht="39.75" customHeight="1">
      <c r="A1" s="156" t="s">
        <v>86</v>
      </c>
    </row>
    <row r="2" spans="1:21" ht="39.75" customHeight="1" thickBot="1">
      <c r="A2" s="385" t="s">
        <v>481</v>
      </c>
      <c r="B2" s="385"/>
      <c r="C2" s="385"/>
      <c r="D2" s="385"/>
      <c r="E2" s="385"/>
      <c r="F2" s="385"/>
      <c r="G2" s="385"/>
      <c r="H2" s="385"/>
      <c r="I2" s="385"/>
      <c r="J2" s="385"/>
      <c r="K2" s="385"/>
      <c r="L2" s="385"/>
      <c r="M2" s="385"/>
      <c r="N2" s="385"/>
      <c r="O2" s="385"/>
    </row>
    <row r="3" spans="1:21" ht="15" customHeight="1">
      <c r="A3" s="17"/>
      <c r="B3" s="17"/>
      <c r="C3" s="17"/>
      <c r="D3" s="17"/>
      <c r="E3" s="17"/>
      <c r="F3" s="17"/>
      <c r="G3" s="17"/>
      <c r="H3" s="17"/>
      <c r="I3" s="391"/>
      <c r="J3" s="17"/>
      <c r="K3" s="17"/>
      <c r="L3" s="17"/>
      <c r="M3" s="17"/>
      <c r="N3" s="17"/>
      <c r="O3" s="17"/>
    </row>
    <row r="4" spans="1:21" s="388" customFormat="1" ht="13.5" customHeight="1">
      <c r="A4" s="418" t="s">
        <v>553</v>
      </c>
      <c r="B4" s="420"/>
      <c r="C4" s="420"/>
      <c r="D4" s="420"/>
      <c r="E4" s="420"/>
      <c r="F4" s="420"/>
      <c r="G4" s="420"/>
      <c r="H4" s="419"/>
      <c r="I4" s="421" t="s">
        <v>564</v>
      </c>
      <c r="J4" s="421"/>
      <c r="K4" s="421"/>
      <c r="L4" s="421"/>
      <c r="M4" s="422" t="s">
        <v>565</v>
      </c>
      <c r="N4" s="423"/>
      <c r="O4" s="423"/>
      <c r="P4" s="424"/>
    </row>
    <row r="5" spans="1:21" s="396" customFormat="1" ht="53.4" thickBot="1">
      <c r="A5" s="425"/>
      <c r="B5" s="426" t="s">
        <v>531</v>
      </c>
      <c r="C5" s="426" t="s">
        <v>532</v>
      </c>
      <c r="D5" s="426" t="s">
        <v>533</v>
      </c>
      <c r="E5" s="426" t="s">
        <v>534</v>
      </c>
      <c r="F5" s="426" t="s">
        <v>535</v>
      </c>
      <c r="G5" s="426" t="s">
        <v>559</v>
      </c>
      <c r="H5" s="426" t="s">
        <v>560</v>
      </c>
      <c r="I5" s="427" t="s">
        <v>561</v>
      </c>
      <c r="J5" s="428" t="s">
        <v>562</v>
      </c>
      <c r="K5" s="428" t="s">
        <v>600</v>
      </c>
      <c r="L5" s="429" t="s">
        <v>563</v>
      </c>
      <c r="M5" s="427" t="s">
        <v>567</v>
      </c>
      <c r="N5" s="430" t="s">
        <v>504</v>
      </c>
      <c r="O5" s="430" t="s">
        <v>566</v>
      </c>
      <c r="P5" s="417"/>
      <c r="Q5" s="388"/>
    </row>
    <row r="6" spans="1:21" s="388" customFormat="1" ht="13.5" customHeight="1">
      <c r="A6" s="397" t="s">
        <v>71</v>
      </c>
      <c r="B6" s="398" t="s">
        <v>557</v>
      </c>
      <c r="C6" s="401">
        <v>1</v>
      </c>
      <c r="D6" s="398" t="s">
        <v>545</v>
      </c>
      <c r="E6" s="398" t="s">
        <v>22</v>
      </c>
      <c r="F6" s="398" t="s">
        <v>586</v>
      </c>
      <c r="G6" s="398"/>
      <c r="H6" s="431">
        <v>900</v>
      </c>
      <c r="I6" s="400">
        <f>AVERAGE('Hidro duomenys'!G7,'Hidro duomenys'!I7:S7)*4</f>
        <v>569.37956666666651</v>
      </c>
      <c r="J6" s="401">
        <f>I6/(H6*8670)*1000</f>
        <v>7.2969315220641609E-2</v>
      </c>
      <c r="K6" s="432">
        <f>AVERAGE('Hidro duomenys'!G19,'Hidro duomenys'!I19:S19)*4</f>
        <v>19.015999999999998</v>
      </c>
      <c r="L6" s="433">
        <f>AVERAGE('Hidro duomenys'!G15,'Hidro duomenys'!I15:S15)*4</f>
        <v>2.4343333333333335</v>
      </c>
      <c r="M6" s="398">
        <v>16.2</v>
      </c>
      <c r="N6" s="398" t="s">
        <v>505</v>
      </c>
      <c r="O6" s="398">
        <v>1.3</v>
      </c>
      <c r="P6" s="424"/>
      <c r="Q6" s="384"/>
    </row>
    <row r="7" spans="1:21" ht="13.5" customHeight="1">
      <c r="A7" s="397" t="s">
        <v>619</v>
      </c>
      <c r="B7" s="398" t="s">
        <v>558</v>
      </c>
      <c r="C7" s="401">
        <v>1</v>
      </c>
      <c r="D7" s="398" t="s">
        <v>545</v>
      </c>
      <c r="E7" s="398" t="s">
        <v>22</v>
      </c>
      <c r="F7" s="398" t="s">
        <v>587</v>
      </c>
      <c r="G7" s="398" t="s">
        <v>588</v>
      </c>
      <c r="H7" s="434">
        <v>100.8</v>
      </c>
      <c r="I7" s="400">
        <f>AVERAGE('Hidro duomenys'!G8,'Hidro duomenys'!I8:S8)*4</f>
        <v>280.17130000000003</v>
      </c>
      <c r="J7" s="401">
        <f>I7/(H7*8670)*1000</f>
        <v>0.32058560352245474</v>
      </c>
      <c r="K7" s="432">
        <f>AVERAGE('Hidro duomenys'!G20,'Hidro duomenys'!I20:S20)*4</f>
        <v>14.269666666666666</v>
      </c>
      <c r="L7" s="433">
        <f>AVERAGE('Hidro duomenys'!G16,'Hidro duomenys'!I16:S16)*4</f>
        <v>1.0163333333333331</v>
      </c>
      <c r="M7" s="435"/>
      <c r="N7" s="435"/>
      <c r="O7" s="435"/>
    </row>
    <row r="8" spans="1:21" s="411" customFormat="1" ht="13.5" customHeight="1">
      <c r="A8" s="406" t="s">
        <v>81</v>
      </c>
      <c r="B8" s="407" t="s">
        <v>558</v>
      </c>
      <c r="C8" s="408"/>
      <c r="D8" s="407"/>
      <c r="E8" s="407"/>
      <c r="F8" s="407"/>
      <c r="G8" s="407"/>
      <c r="H8" s="436">
        <f>SUM(H6:H7)</f>
        <v>1000.8</v>
      </c>
      <c r="I8" s="409">
        <f>SUM(I6:I7)</f>
        <v>849.55086666666648</v>
      </c>
      <c r="J8" s="414">
        <f>AVERAGE(J6:J7)</f>
        <v>0.19677745937154817</v>
      </c>
      <c r="K8" s="437">
        <f>SUM(K6:K7)</f>
        <v>33.285666666666664</v>
      </c>
      <c r="L8" s="437">
        <f>SUM(L6:L7)</f>
        <v>3.4506666666666668</v>
      </c>
      <c r="M8" s="437">
        <f>SUM(M6:M7)</f>
        <v>16.2</v>
      </c>
      <c r="N8" s="438"/>
      <c r="O8" s="437">
        <f>SUM(O6:O7)</f>
        <v>1.3</v>
      </c>
      <c r="P8" s="439"/>
    </row>
    <row r="9" spans="1:21" ht="13.5" customHeight="1">
      <c r="A9" s="415" t="s">
        <v>556</v>
      </c>
    </row>
    <row r="10" spans="1:21" s="388" customFormat="1" ht="13.5" customHeight="1">
      <c r="A10" s="415" t="s">
        <v>555</v>
      </c>
      <c r="B10" s="440"/>
      <c r="C10" s="424"/>
      <c r="D10" s="424"/>
      <c r="E10" s="424"/>
      <c r="F10" s="424"/>
      <c r="G10" s="424"/>
      <c r="H10" s="441"/>
      <c r="I10" s="441"/>
      <c r="J10" s="424"/>
      <c r="K10" s="424"/>
      <c r="L10" s="424"/>
      <c r="M10" s="424"/>
      <c r="N10" s="424"/>
      <c r="O10" s="424"/>
      <c r="P10" s="424"/>
      <c r="Q10" s="384"/>
      <c r="R10" s="384"/>
      <c r="S10" s="384"/>
      <c r="T10" s="384"/>
      <c r="U10" s="384"/>
    </row>
    <row r="11" spans="1:21" ht="13.5" customHeight="1">
      <c r="A11" s="415" t="s">
        <v>554</v>
      </c>
    </row>
    <row r="12" spans="1:21" s="388" customFormat="1" ht="13.5" customHeight="1">
      <c r="A12" s="442"/>
      <c r="B12" s="440"/>
      <c r="C12" s="424"/>
      <c r="D12" s="424"/>
      <c r="E12" s="424"/>
      <c r="F12" s="424"/>
      <c r="G12" s="424"/>
      <c r="H12" s="441"/>
      <c r="I12" s="441"/>
      <c r="J12" s="424"/>
      <c r="K12" s="424"/>
      <c r="L12" s="424"/>
      <c r="M12" s="391"/>
      <c r="N12" s="424"/>
      <c r="O12" s="424"/>
      <c r="P12" s="424"/>
      <c r="Q12" s="384"/>
      <c r="R12" s="384"/>
      <c r="S12" s="384"/>
      <c r="T12" s="384"/>
      <c r="U12" s="384"/>
    </row>
  </sheetData>
  <conditionalFormatting sqref="B4:G4">
    <cfRule type="expression" dxfId="230" priority="7">
      <formula>#REF!=0</formula>
    </cfRule>
  </conditionalFormatting>
  <conditionalFormatting sqref="G6:G7">
    <cfRule type="expression" dxfId="229" priority="5">
      <formula>#REF!=0</formula>
    </cfRule>
  </conditionalFormatting>
  <conditionalFormatting sqref="G8">
    <cfRule type="expression" dxfId="228" priority="4">
      <formula>#REF!=0</formula>
    </cfRule>
  </conditionalFormatting>
  <conditionalFormatting sqref="I8">
    <cfRule type="expression" dxfId="227" priority="3">
      <formula>#REF!=0</formula>
    </cfRule>
  </conditionalFormatting>
  <conditionalFormatting sqref="I8">
    <cfRule type="expression" dxfId="226" priority="6">
      <formula>#REF!=0</formula>
    </cfRule>
  </conditionalFormatting>
  <conditionalFormatting sqref="F6">
    <cfRule type="expression" dxfId="225" priority="2">
      <formula>#REF!=0</formula>
    </cfRule>
  </conditionalFormatting>
  <conditionalFormatting sqref="N8 C8">
    <cfRule type="expression" dxfId="224" priority="1">
      <formula>K8=0</formula>
    </cfRule>
  </conditionalFormatting>
  <conditionalFormatting sqref="D6:D8">
    <cfRule type="expression" dxfId="223" priority="8">
      <formula>#REF!=0</formula>
    </cfRule>
  </conditionalFormatting>
  <conditionalFormatting sqref="I6:I7">
    <cfRule type="expression" dxfId="222" priority="9">
      <formula>K6=0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Y13"/>
  <sheetViews>
    <sheetView showGridLines="0" zoomScale="80" zoomScaleNormal="80" workbookViewId="0">
      <pane xSplit="1" ySplit="5" topLeftCell="B6" activePane="bottomRight" state="frozen"/>
      <selection pane="topRight"/>
      <selection pane="bottomLeft"/>
      <selection pane="bottomRight"/>
    </sheetView>
  </sheetViews>
  <sheetFormatPr defaultColWidth="9.33203125" defaultRowHeight="13.2"/>
  <cols>
    <col min="1" max="1" width="35.6640625" style="384" customWidth="1"/>
    <col min="2" max="15" width="16.33203125" style="384" customWidth="1"/>
    <col min="16" max="44" width="13.33203125" style="384" customWidth="1"/>
    <col min="45" max="16384" width="9.33203125" style="384"/>
  </cols>
  <sheetData>
    <row r="1" spans="1:25" ht="39.75" customHeight="1">
      <c r="A1" s="156" t="s">
        <v>86</v>
      </c>
    </row>
    <row r="2" spans="1:25" ht="39.75" customHeight="1" thickBot="1">
      <c r="A2" s="385" t="s">
        <v>529</v>
      </c>
      <c r="B2" s="385"/>
      <c r="C2" s="385"/>
      <c r="D2" s="385"/>
      <c r="E2" s="385"/>
      <c r="F2" s="385"/>
      <c r="G2" s="385"/>
      <c r="H2" s="385"/>
      <c r="I2" s="385"/>
      <c r="J2" s="385"/>
      <c r="K2" s="385"/>
      <c r="L2" s="385"/>
      <c r="M2" s="385"/>
      <c r="N2" s="385"/>
      <c r="O2" s="385"/>
      <c r="P2" s="443"/>
      <c r="Q2" s="443"/>
      <c r="R2" s="443"/>
      <c r="S2" s="443"/>
    </row>
    <row r="3" spans="1:25" ht="13.5" customHeight="1">
      <c r="A3" s="17"/>
      <c r="B3" s="17"/>
      <c r="C3" s="17"/>
      <c r="D3" s="17"/>
      <c r="E3" s="17"/>
      <c r="F3" s="17"/>
      <c r="G3" s="17"/>
      <c r="H3" s="17"/>
      <c r="I3" s="17"/>
      <c r="J3" s="17"/>
      <c r="K3" s="17"/>
      <c r="L3" s="17"/>
      <c r="M3" s="17"/>
      <c r="N3" s="17"/>
      <c r="O3" s="17"/>
      <c r="P3" s="443"/>
      <c r="Q3" s="443"/>
      <c r="R3" s="443"/>
      <c r="S3" s="443"/>
    </row>
    <row r="4" spans="1:25" s="388" customFormat="1" ht="13.8" thickBot="1">
      <c r="A4" s="386" t="s">
        <v>552</v>
      </c>
      <c r="B4" s="387"/>
      <c r="E4" s="389"/>
      <c r="F4" s="390"/>
      <c r="O4" s="424"/>
      <c r="P4" s="444"/>
      <c r="Q4" s="424"/>
      <c r="R4" s="424"/>
      <c r="S4" s="424"/>
      <c r="T4" s="424"/>
      <c r="U4" s="424"/>
      <c r="V4" s="424"/>
      <c r="W4" s="424"/>
      <c r="X4" s="424"/>
    </row>
    <row r="5" spans="1:25" s="396" customFormat="1" ht="54" customHeight="1" thickBot="1">
      <c r="A5" s="392"/>
      <c r="B5" s="392" t="s">
        <v>531</v>
      </c>
      <c r="C5" s="392" t="s">
        <v>532</v>
      </c>
      <c r="D5" s="392" t="s">
        <v>533</v>
      </c>
      <c r="E5" s="392" t="s">
        <v>534</v>
      </c>
      <c r="F5" s="393" t="s">
        <v>535</v>
      </c>
      <c r="G5" s="393" t="s">
        <v>560</v>
      </c>
      <c r="H5" s="393" t="s">
        <v>573</v>
      </c>
      <c r="I5" s="393" t="s">
        <v>561</v>
      </c>
      <c r="J5" s="393" t="s">
        <v>574</v>
      </c>
      <c r="K5" s="392" t="s">
        <v>651</v>
      </c>
      <c r="L5" s="392" t="s">
        <v>652</v>
      </c>
      <c r="M5" s="392" t="s">
        <v>653</v>
      </c>
      <c r="N5" s="393" t="s">
        <v>654</v>
      </c>
      <c r="O5" s="395" t="s">
        <v>543</v>
      </c>
      <c r="P5" s="417"/>
      <c r="Q5" s="424"/>
      <c r="R5" s="417"/>
      <c r="S5" s="417"/>
      <c r="T5" s="417"/>
      <c r="U5" s="417"/>
      <c r="V5" s="417"/>
      <c r="W5" s="417"/>
      <c r="X5" s="417"/>
    </row>
    <row r="6" spans="1:25" ht="13.5" customHeight="1">
      <c r="A6" s="397" t="s">
        <v>150</v>
      </c>
      <c r="B6" s="398" t="s">
        <v>506</v>
      </c>
      <c r="C6" s="401">
        <v>0.51</v>
      </c>
      <c r="D6" s="398" t="s">
        <v>545</v>
      </c>
      <c r="E6" s="398" t="s">
        <v>22</v>
      </c>
      <c r="F6" s="398" t="s">
        <v>583</v>
      </c>
      <c r="G6" s="431">
        <v>24</v>
      </c>
      <c r="H6" s="431">
        <v>70</v>
      </c>
      <c r="I6" s="445">
        <v>170</v>
      </c>
      <c r="J6" s="445">
        <v>400</v>
      </c>
      <c r="K6" s="445" t="s">
        <v>571</v>
      </c>
      <c r="L6" s="445" t="s">
        <v>571</v>
      </c>
      <c r="M6" s="445"/>
      <c r="N6" s="446">
        <v>12</v>
      </c>
      <c r="O6" s="447"/>
    </row>
    <row r="7" spans="1:25" ht="13.5" customHeight="1">
      <c r="A7" s="397" t="s">
        <v>151</v>
      </c>
      <c r="B7" s="448" t="s">
        <v>506</v>
      </c>
      <c r="C7" s="449">
        <v>1</v>
      </c>
      <c r="D7" s="398" t="s">
        <v>545</v>
      </c>
      <c r="E7" s="398" t="s">
        <v>22</v>
      </c>
      <c r="F7" s="450" t="s">
        <v>650</v>
      </c>
      <c r="G7" s="431">
        <v>19</v>
      </c>
      <c r="H7" s="431">
        <v>60</v>
      </c>
      <c r="I7" s="451">
        <v>140</v>
      </c>
      <c r="J7" s="451">
        <v>460</v>
      </c>
      <c r="K7" s="445">
        <v>160</v>
      </c>
      <c r="L7" s="445"/>
      <c r="M7" s="445"/>
      <c r="N7" s="452">
        <v>8</v>
      </c>
      <c r="O7" s="453"/>
      <c r="P7" s="417"/>
      <c r="R7" s="417"/>
      <c r="S7" s="417"/>
      <c r="T7" s="417"/>
      <c r="U7" s="417"/>
      <c r="V7" s="417"/>
      <c r="W7" s="417"/>
      <c r="X7" s="417"/>
      <c r="Y7" s="417"/>
    </row>
    <row r="8" spans="1:25" ht="13.5" customHeight="1">
      <c r="A8" s="397" t="s">
        <v>569</v>
      </c>
      <c r="B8" s="398" t="s">
        <v>508</v>
      </c>
      <c r="C8" s="401">
        <v>1</v>
      </c>
      <c r="D8" s="398" t="s">
        <v>545</v>
      </c>
      <c r="E8" s="398" t="s">
        <v>22</v>
      </c>
      <c r="F8" s="398" t="s">
        <v>584</v>
      </c>
      <c r="G8" s="431"/>
      <c r="H8" s="431">
        <v>40</v>
      </c>
      <c r="I8" s="454"/>
      <c r="J8" s="451">
        <v>80</v>
      </c>
      <c r="K8" s="445"/>
      <c r="L8" s="445"/>
      <c r="M8" s="445"/>
      <c r="N8" s="452" t="s">
        <v>25</v>
      </c>
      <c r="O8" s="447"/>
    </row>
    <row r="9" spans="1:25" s="411" customFormat="1" ht="13.5" customHeight="1">
      <c r="A9" s="406" t="s">
        <v>576</v>
      </c>
      <c r="B9" s="407" t="s">
        <v>509</v>
      </c>
      <c r="C9" s="408"/>
      <c r="D9" s="407"/>
      <c r="E9" s="407"/>
      <c r="F9" s="407"/>
      <c r="G9" s="455">
        <f t="shared" ref="G9:H9" si="0">SUM(G6:G8)</f>
        <v>43</v>
      </c>
      <c r="H9" s="455">
        <f t="shared" si="0"/>
        <v>170</v>
      </c>
      <c r="I9" s="456">
        <f t="shared" ref="I9" si="1">SUM(I6:I8)</f>
        <v>310</v>
      </c>
      <c r="J9" s="457">
        <f>SUM(J6:J8)</f>
        <v>940</v>
      </c>
      <c r="K9" s="456">
        <f>SUM(K6:K8)</f>
        <v>160</v>
      </c>
      <c r="L9" s="456">
        <f>SUM(L6:L8)</f>
        <v>0</v>
      </c>
      <c r="M9" s="458"/>
      <c r="N9" s="459"/>
      <c r="O9" s="447"/>
      <c r="P9" s="460"/>
      <c r="Q9" s="439"/>
      <c r="R9" s="439"/>
      <c r="S9" s="439"/>
      <c r="T9" s="439"/>
      <c r="U9" s="439"/>
      <c r="V9" s="439"/>
      <c r="W9" s="439"/>
      <c r="X9" s="439"/>
    </row>
    <row r="10" spans="1:25" ht="13.5" customHeight="1">
      <c r="A10" s="397" t="s">
        <v>568</v>
      </c>
      <c r="B10" s="461" t="s">
        <v>508</v>
      </c>
      <c r="C10" s="401">
        <v>1</v>
      </c>
      <c r="D10" s="398" t="s">
        <v>545</v>
      </c>
      <c r="E10" s="398" t="s">
        <v>22</v>
      </c>
      <c r="F10" s="450" t="s">
        <v>585</v>
      </c>
      <c r="G10" s="431">
        <v>73</v>
      </c>
      <c r="H10" s="431">
        <v>169</v>
      </c>
      <c r="I10" s="451">
        <v>320</v>
      </c>
      <c r="J10" s="451">
        <v>760</v>
      </c>
      <c r="K10" s="445"/>
      <c r="L10" s="445"/>
      <c r="M10" s="445">
        <v>1050</v>
      </c>
      <c r="N10" s="452">
        <v>9</v>
      </c>
      <c r="O10" s="462">
        <v>210</v>
      </c>
    </row>
    <row r="11" spans="1:25" s="411" customFormat="1" ht="13.5" customHeight="1">
      <c r="A11" s="406" t="s">
        <v>577</v>
      </c>
      <c r="B11" s="407" t="s">
        <v>509</v>
      </c>
      <c r="C11" s="408"/>
      <c r="D11" s="407"/>
      <c r="E11" s="407"/>
      <c r="F11" s="407"/>
      <c r="G11" s="455">
        <f t="shared" ref="G11:M11" si="2">SUM(G10:G10)</f>
        <v>73</v>
      </c>
      <c r="H11" s="455">
        <f t="shared" si="2"/>
        <v>169</v>
      </c>
      <c r="I11" s="456">
        <f t="shared" si="2"/>
        <v>320</v>
      </c>
      <c r="J11" s="456">
        <f t="shared" si="2"/>
        <v>760</v>
      </c>
      <c r="K11" s="456">
        <f t="shared" si="2"/>
        <v>0</v>
      </c>
      <c r="L11" s="456">
        <f t="shared" si="2"/>
        <v>0</v>
      </c>
      <c r="M11" s="456">
        <f t="shared" si="2"/>
        <v>1050</v>
      </c>
      <c r="N11" s="459"/>
      <c r="O11" s="456">
        <f>SUM(O9:O10)</f>
        <v>210</v>
      </c>
      <c r="P11" s="460"/>
      <c r="R11" s="439"/>
      <c r="S11" s="439"/>
      <c r="T11" s="439"/>
      <c r="U11" s="439"/>
      <c r="V11" s="439"/>
      <c r="W11" s="439"/>
      <c r="X11" s="439"/>
    </row>
    <row r="12" spans="1:25" ht="13.5" customHeight="1">
      <c r="A12" s="463" t="s">
        <v>570</v>
      </c>
    </row>
    <row r="13" spans="1:25" s="388" customFormat="1" ht="13.5" customHeight="1">
      <c r="A13" s="464" t="s">
        <v>572</v>
      </c>
      <c r="B13" s="440"/>
      <c r="C13" s="424"/>
      <c r="D13" s="424"/>
      <c r="E13" s="424"/>
      <c r="F13" s="424"/>
      <c r="G13" s="441"/>
      <c r="H13" s="441"/>
      <c r="I13" s="424"/>
      <c r="J13" s="424"/>
      <c r="K13" s="424"/>
      <c r="L13" s="424"/>
      <c r="M13" s="424"/>
      <c r="N13" s="424"/>
      <c r="O13" s="424"/>
      <c r="P13" s="424"/>
      <c r="Q13" s="424"/>
      <c r="R13" s="424"/>
      <c r="S13" s="424"/>
      <c r="T13" s="424"/>
      <c r="U13" s="424"/>
      <c r="V13" s="424"/>
      <c r="W13" s="424"/>
      <c r="X13" s="424"/>
    </row>
  </sheetData>
  <conditionalFormatting sqref="P9:P10">
    <cfRule type="expression" dxfId="221" priority="22">
      <formula>#REF!=0</formula>
    </cfRule>
  </conditionalFormatting>
  <conditionalFormatting sqref="F6 F8:F9">
    <cfRule type="expression" dxfId="220" priority="21">
      <formula>#REF!=0</formula>
    </cfRule>
  </conditionalFormatting>
  <conditionalFormatting sqref="O4:P4 P5">
    <cfRule type="expression" dxfId="219" priority="20">
      <formula>#REF!=0</formula>
    </cfRule>
  </conditionalFormatting>
  <conditionalFormatting sqref="C9:D9 C11">
    <cfRule type="expression" dxfId="218" priority="19">
      <formula>R9=0</formula>
    </cfRule>
  </conditionalFormatting>
  <conditionalFormatting sqref="D4:F4">
    <cfRule type="expression" dxfId="217" priority="23">
      <formula>#REF!=0</formula>
    </cfRule>
  </conditionalFormatting>
  <conditionalFormatting sqref="P11">
    <cfRule type="expression" dxfId="216" priority="17">
      <formula>#REF!=0</formula>
    </cfRule>
  </conditionalFormatting>
  <conditionalFormatting sqref="F11">
    <cfRule type="expression" dxfId="215" priority="16">
      <formula>#REF!=0</formula>
    </cfRule>
  </conditionalFormatting>
  <conditionalFormatting sqref="D11">
    <cfRule type="expression" dxfId="214" priority="15">
      <formula>S11=0</formula>
    </cfRule>
  </conditionalFormatting>
  <conditionalFormatting sqref="O8:O9">
    <cfRule type="expression" dxfId="213" priority="24">
      <formula>AC8=0</formula>
    </cfRule>
  </conditionalFormatting>
  <conditionalFormatting sqref="I8">
    <cfRule type="expression" dxfId="212" priority="14">
      <formula>T8=0</formula>
    </cfRule>
  </conditionalFormatting>
  <conditionalFormatting sqref="M9">
    <cfRule type="expression" dxfId="211" priority="13">
      <formula>AA9=0</formula>
    </cfRule>
  </conditionalFormatting>
  <conditionalFormatting sqref="O6 O8:O9">
    <cfRule type="expression" dxfId="210" priority="12">
      <formula>#REF!=0</formula>
    </cfRule>
  </conditionalFormatting>
  <conditionalFormatting sqref="O6">
    <cfRule type="expression" dxfId="209" priority="11">
      <formula>AC6=0</formula>
    </cfRule>
  </conditionalFormatting>
  <conditionalFormatting sqref="O6 O8:O9">
    <cfRule type="expression" dxfId="208" priority="10">
      <formula>#REF!=0</formula>
    </cfRule>
  </conditionalFormatting>
  <conditionalFormatting sqref="O6 O8:O9">
    <cfRule type="expression" dxfId="207" priority="9">
      <formula>AE6=0</formula>
    </cfRule>
  </conditionalFormatting>
  <conditionalFormatting sqref="P7">
    <cfRule type="expression" dxfId="206" priority="8">
      <formula>#REF!=0</formula>
    </cfRule>
  </conditionalFormatting>
  <conditionalFormatting sqref="F7">
    <cfRule type="expression" dxfId="205" priority="7">
      <formula>#REF!=0</formula>
    </cfRule>
  </conditionalFormatting>
  <conditionalFormatting sqref="P7 R7:Y7">
    <cfRule type="expression" dxfId="204" priority="6">
      <formula>#REF!=0</formula>
    </cfRule>
  </conditionalFormatting>
  <conditionalFormatting sqref="F10">
    <cfRule type="expression" dxfId="203" priority="4">
      <formula>#REF!=0</formula>
    </cfRule>
  </conditionalFormatting>
  <conditionalFormatting sqref="D6:D8">
    <cfRule type="expression" dxfId="202" priority="2">
      <formula>#REF!=0</formula>
    </cfRule>
  </conditionalFormatting>
  <conditionalFormatting sqref="D10">
    <cfRule type="expression" dxfId="201"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P11"/>
  <sheetViews>
    <sheetView showGridLines="0" zoomScale="80" zoomScaleNormal="80" workbookViewId="0"/>
  </sheetViews>
  <sheetFormatPr defaultColWidth="9.33203125" defaultRowHeight="13.2"/>
  <cols>
    <col min="1" max="1" width="35.6640625" style="384" customWidth="1"/>
    <col min="2" max="14" width="16.33203125" style="384" customWidth="1"/>
    <col min="15" max="22" width="13.33203125" style="384" customWidth="1"/>
    <col min="23" max="16384" width="9.33203125" style="384"/>
  </cols>
  <sheetData>
    <row r="1" spans="1:16" ht="39.75" customHeight="1">
      <c r="A1" s="156" t="s">
        <v>86</v>
      </c>
    </row>
    <row r="2" spans="1:16" ht="39.75" customHeight="1" thickBot="1">
      <c r="A2" s="385" t="s">
        <v>483</v>
      </c>
      <c r="B2" s="385"/>
      <c r="C2" s="385"/>
      <c r="D2" s="385"/>
      <c r="E2" s="385"/>
      <c r="F2" s="385"/>
      <c r="G2" s="385"/>
      <c r="H2" s="385"/>
      <c r="I2" s="385"/>
      <c r="J2" s="385"/>
      <c r="K2" s="385"/>
      <c r="L2" s="385"/>
      <c r="M2" s="385"/>
      <c r="N2" s="385"/>
      <c r="O2" s="443"/>
    </row>
    <row r="3" spans="1:16" s="465" customFormat="1" ht="13.8"/>
    <row r="4" spans="1:16" s="466" customFormat="1" ht="16.5" customHeight="1">
      <c r="A4" s="386" t="s">
        <v>553</v>
      </c>
      <c r="H4" s="610" t="s">
        <v>595</v>
      </c>
      <c r="I4" s="610"/>
      <c r="J4" s="610"/>
      <c r="K4" s="610"/>
      <c r="L4" s="422" t="s">
        <v>596</v>
      </c>
      <c r="M4" s="423"/>
      <c r="N4" s="423"/>
    </row>
    <row r="5" spans="1:16" s="468" customFormat="1" ht="51.45" customHeight="1" thickBot="1">
      <c r="A5" s="426"/>
      <c r="B5" s="426" t="s">
        <v>531</v>
      </c>
      <c r="C5" s="426" t="s">
        <v>532</v>
      </c>
      <c r="D5" s="426" t="s">
        <v>533</v>
      </c>
      <c r="E5" s="426" t="s">
        <v>534</v>
      </c>
      <c r="F5" s="426" t="s">
        <v>535</v>
      </c>
      <c r="G5" s="426" t="s">
        <v>536</v>
      </c>
      <c r="H5" s="427" t="s">
        <v>561</v>
      </c>
      <c r="I5" s="428" t="s">
        <v>562</v>
      </c>
      <c r="J5" s="429" t="s">
        <v>655</v>
      </c>
      <c r="K5" s="429" t="s">
        <v>563</v>
      </c>
      <c r="L5" s="427" t="s">
        <v>567</v>
      </c>
      <c r="M5" s="467" t="s">
        <v>504</v>
      </c>
      <c r="N5" s="430" t="s">
        <v>566</v>
      </c>
    </row>
    <row r="6" spans="1:16" s="388" customFormat="1" ht="13.5" customHeight="1">
      <c r="A6" s="397" t="s">
        <v>77</v>
      </c>
      <c r="B6" s="398" t="s">
        <v>580</v>
      </c>
      <c r="C6" s="401">
        <v>1</v>
      </c>
      <c r="D6" s="398" t="s">
        <v>545</v>
      </c>
      <c r="E6" s="398" t="s">
        <v>22</v>
      </c>
      <c r="F6" s="398" t="s">
        <v>581</v>
      </c>
      <c r="G6" s="469">
        <v>455</v>
      </c>
      <c r="H6" s="469">
        <f>AVERAGE('Gamtinių dujų duomenys'!G7:K7)*4</f>
        <v>1120.5567999999998</v>
      </c>
      <c r="I6" s="470">
        <f>H6/(G6*24*365)*1000</f>
        <v>0.28113723719203171</v>
      </c>
      <c r="J6" s="471">
        <f>AVERAGE('Gamtinių dujų duomenys'!G13:K13)</f>
        <v>18.161999999999999</v>
      </c>
      <c r="K6" s="471">
        <f>AVERAGE('Gamtinių dujų duomenys'!G11:K11)*4</f>
        <v>3.4343999999999992</v>
      </c>
      <c r="L6" s="410"/>
      <c r="M6" s="398"/>
      <c r="N6" s="432">
        <v>9.9</v>
      </c>
      <c r="P6" s="468"/>
    </row>
    <row r="7" spans="1:16" s="388" customFormat="1" ht="13.5" customHeight="1">
      <c r="A7" s="397" t="s">
        <v>575</v>
      </c>
      <c r="B7" s="398" t="s">
        <v>580</v>
      </c>
      <c r="C7" s="401">
        <v>1</v>
      </c>
      <c r="D7" s="398" t="s">
        <v>545</v>
      </c>
      <c r="E7" s="398" t="s">
        <v>22</v>
      </c>
      <c r="F7" s="472" t="s">
        <v>582</v>
      </c>
      <c r="G7" s="469">
        <v>600</v>
      </c>
      <c r="H7" s="469"/>
      <c r="I7" s="470"/>
      <c r="J7" s="398"/>
      <c r="K7" s="398"/>
      <c r="L7" s="398">
        <v>33.799999999999997</v>
      </c>
      <c r="M7" s="398" t="s">
        <v>505</v>
      </c>
      <c r="N7" s="432">
        <v>4</v>
      </c>
      <c r="P7" s="468"/>
    </row>
    <row r="8" spans="1:16" s="411" customFormat="1" ht="13.5" customHeight="1">
      <c r="A8" s="406" t="s">
        <v>81</v>
      </c>
      <c r="B8" s="407" t="s">
        <v>580</v>
      </c>
      <c r="C8" s="473"/>
      <c r="D8" s="407"/>
      <c r="E8" s="407"/>
      <c r="F8" s="407"/>
      <c r="G8" s="474">
        <f>SUM(G6:G7)</f>
        <v>1055</v>
      </c>
      <c r="H8" s="474">
        <f>SUM(H6:H7)</f>
        <v>1120.5567999999998</v>
      </c>
      <c r="I8" s="475">
        <f>AVERAGE(I6:I7)</f>
        <v>0.28113723719203171</v>
      </c>
      <c r="J8" s="437">
        <f>SUM(J6:J7)</f>
        <v>18.161999999999999</v>
      </c>
      <c r="K8" s="437">
        <f>SUM(K6:K7)</f>
        <v>3.4343999999999992</v>
      </c>
      <c r="L8" s="407">
        <f>SUM(L6:L7)</f>
        <v>33.799999999999997</v>
      </c>
      <c r="M8" s="410" t="str">
        <f>M7</f>
        <v>3.50%</v>
      </c>
      <c r="N8" s="437">
        <f>SUM(N6:N7)</f>
        <v>13.9</v>
      </c>
      <c r="P8" s="468"/>
    </row>
    <row r="9" spans="1:16" s="479" customFormat="1" ht="13.5" customHeight="1">
      <c r="A9" s="415" t="s">
        <v>597</v>
      </c>
      <c r="B9" s="476"/>
      <c r="C9" s="477"/>
      <c r="D9" s="477"/>
      <c r="E9" s="477"/>
      <c r="F9" s="477"/>
      <c r="G9" s="478"/>
      <c r="H9" s="477"/>
      <c r="I9" s="477"/>
      <c r="J9" s="477"/>
      <c r="K9" s="477"/>
    </row>
    <row r="10" spans="1:16" s="479" customFormat="1" ht="13.5" customHeight="1">
      <c r="A10" s="415" t="s">
        <v>598</v>
      </c>
      <c r="B10" s="476"/>
      <c r="C10" s="477"/>
      <c r="D10" s="477"/>
      <c r="E10" s="477"/>
      <c r="F10" s="477"/>
      <c r="G10" s="478"/>
      <c r="H10" s="477"/>
      <c r="I10" s="477"/>
      <c r="J10" s="477"/>
      <c r="K10" s="477"/>
    </row>
    <row r="11" spans="1:16" s="479" customFormat="1" ht="13.5" customHeight="1">
      <c r="A11" s="415" t="s">
        <v>599</v>
      </c>
      <c r="B11" s="480"/>
      <c r="C11" s="477"/>
      <c r="D11" s="477"/>
      <c r="E11" s="477"/>
      <c r="F11" s="477"/>
      <c r="G11" s="481"/>
      <c r="H11" s="477"/>
      <c r="I11" s="477"/>
      <c r="J11" s="477"/>
      <c r="K11" s="477"/>
    </row>
  </sheetData>
  <mergeCells count="1">
    <mergeCell ref="H4:K4"/>
  </mergeCells>
  <conditionalFormatting sqref="F6">
    <cfRule type="expression" dxfId="200" priority="10">
      <formula>#REF!=0</formula>
    </cfRule>
  </conditionalFormatting>
  <conditionalFormatting sqref="F8 N6">
    <cfRule type="expression" dxfId="199" priority="9">
      <formula>#REF!=0</formula>
    </cfRule>
  </conditionalFormatting>
  <conditionalFormatting sqref="C8">
    <cfRule type="expression" dxfId="198" priority="8">
      <formula>I8=0</formula>
    </cfRule>
  </conditionalFormatting>
  <conditionalFormatting sqref="F8 D8 L6 M8">
    <cfRule type="expression" dxfId="197" priority="7">
      <formula>#REF!=0</formula>
    </cfRule>
  </conditionalFormatting>
  <conditionalFormatting sqref="F7">
    <cfRule type="expression" dxfId="196" priority="6">
      <formula>#REF!=0</formula>
    </cfRule>
  </conditionalFormatting>
  <conditionalFormatting sqref="L6">
    <cfRule type="expression" dxfId="195" priority="11">
      <formula>N8=0</formula>
    </cfRule>
  </conditionalFormatting>
  <conditionalFormatting sqref="I6:I7">
    <cfRule type="expression" dxfId="194" priority="5">
      <formula>#REF!=0</formula>
    </cfRule>
  </conditionalFormatting>
  <conditionalFormatting sqref="I8">
    <cfRule type="expression" dxfId="193" priority="12">
      <formula>#REF!=0</formula>
    </cfRule>
  </conditionalFormatting>
  <conditionalFormatting sqref="M8">
    <cfRule type="expression" dxfId="192" priority="13">
      <formula>Q8=0</formula>
    </cfRule>
  </conditionalFormatting>
  <conditionalFormatting sqref="K6">
    <cfRule type="expression" dxfId="191" priority="3">
      <formula>#REF!=0</formula>
    </cfRule>
  </conditionalFormatting>
  <conditionalFormatting sqref="K6">
    <cfRule type="expression" dxfId="190" priority="4">
      <formula>L8=0</formula>
    </cfRule>
  </conditionalFormatting>
  <conditionalFormatting sqref="J6">
    <cfRule type="expression" dxfId="189" priority="2">
      <formula>#REF!=0</formula>
    </cfRule>
  </conditionalFormatting>
  <conditionalFormatting sqref="J6">
    <cfRule type="expression" dxfId="188" priority="14">
      <formula>#REF!=0</formula>
    </cfRule>
  </conditionalFormatting>
  <conditionalFormatting sqref="D6:D7">
    <cfRule type="expression" dxfId="187" priority="1">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4.4"/>
  <sheetData>
    <row r="1" spans="1:1">
      <c r="A1" s="15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8"/>
  <sheetViews>
    <sheetView zoomScale="80" zoomScaleNormal="80" workbookViewId="0"/>
  </sheetViews>
  <sheetFormatPr defaultColWidth="9.109375" defaultRowHeight="17.399999999999999"/>
  <cols>
    <col min="1" max="1" width="9.109375" style="4" customWidth="1"/>
    <col min="2" max="2" width="57.109375" style="30" customWidth="1"/>
    <col min="3" max="3" width="14.109375" style="7" customWidth="1"/>
    <col min="4" max="16384" width="9.109375" style="4"/>
  </cols>
  <sheetData>
    <row r="2" spans="2:5" ht="18" thickBot="1">
      <c r="B2" s="604" t="s">
        <v>21</v>
      </c>
      <c r="C2" s="604"/>
    </row>
    <row r="3" spans="2:5" s="5" customFormat="1" ht="39.9" customHeight="1">
      <c r="B3" s="49" t="s">
        <v>246</v>
      </c>
      <c r="C3" s="29"/>
      <c r="D3" s="54" t="s">
        <v>121</v>
      </c>
    </row>
    <row r="4" spans="2:5" s="5" customFormat="1" ht="39.9" customHeight="1">
      <c r="B4" s="49" t="s">
        <v>247</v>
      </c>
      <c r="C4" s="29"/>
    </row>
    <row r="5" spans="2:5" s="5" customFormat="1" ht="39.9" customHeight="1">
      <c r="B5" s="49" t="s">
        <v>248</v>
      </c>
      <c r="C5" s="29"/>
      <c r="E5" s="8"/>
    </row>
    <row r="6" spans="2:5" s="5" customFormat="1" ht="39.9" customHeight="1">
      <c r="B6" s="49" t="s">
        <v>249</v>
      </c>
      <c r="C6" s="29"/>
      <c r="D6" s="6"/>
    </row>
    <row r="7" spans="2:5" s="5" customFormat="1" ht="39.9" customHeight="1">
      <c r="B7" s="49" t="s">
        <v>252</v>
      </c>
      <c r="C7" s="29"/>
      <c r="D7" s="6"/>
    </row>
    <row r="8" spans="2:5" s="5" customFormat="1" ht="39.9" customHeight="1">
      <c r="B8" s="49" t="s">
        <v>377</v>
      </c>
      <c r="C8" s="29"/>
      <c r="D8" s="6"/>
    </row>
    <row r="9" spans="2:5" s="5" customFormat="1" ht="39.9" customHeight="1">
      <c r="B9" s="49" t="s">
        <v>253</v>
      </c>
      <c r="C9" s="29"/>
      <c r="D9" s="6"/>
    </row>
    <row r="10" spans="2:5" s="5" customFormat="1" ht="39.9" customHeight="1">
      <c r="B10" s="49" t="s">
        <v>254</v>
      </c>
      <c r="C10" s="29"/>
      <c r="D10" s="6"/>
    </row>
    <row r="11" spans="2:5" s="5" customFormat="1" ht="39.9" customHeight="1">
      <c r="B11" s="49" t="s">
        <v>255</v>
      </c>
      <c r="C11" s="29"/>
      <c r="D11" s="6"/>
    </row>
    <row r="12" spans="2:5" s="5" customFormat="1" ht="39.9" customHeight="1">
      <c r="B12" s="49" t="s">
        <v>256</v>
      </c>
      <c r="C12" s="29"/>
      <c r="D12" s="6"/>
    </row>
    <row r="13" spans="2:5" s="5" customFormat="1" ht="39.9" customHeight="1">
      <c r="B13" s="49" t="s">
        <v>257</v>
      </c>
      <c r="C13" s="29"/>
      <c r="D13" s="6"/>
    </row>
    <row r="14" spans="2:5" s="5" customFormat="1" ht="39.9" customHeight="1">
      <c r="B14" s="49" t="s">
        <v>479</v>
      </c>
      <c r="C14" s="382"/>
    </row>
    <row r="15" spans="2:5" s="5" customFormat="1" ht="39.9" customHeight="1">
      <c r="B15" s="383" t="s">
        <v>480</v>
      </c>
      <c r="C15" s="382"/>
    </row>
    <row r="16" spans="2:5" s="5" customFormat="1" ht="39.9" customHeight="1">
      <c r="B16" s="383" t="s">
        <v>481</v>
      </c>
      <c r="C16" s="382"/>
    </row>
    <row r="17" spans="2:4" s="5" customFormat="1" ht="39.9" customHeight="1">
      <c r="B17" s="383" t="s">
        <v>482</v>
      </c>
      <c r="C17" s="382"/>
    </row>
    <row r="18" spans="2:4" s="5" customFormat="1" ht="39.9" customHeight="1">
      <c r="B18" s="383" t="s">
        <v>483</v>
      </c>
      <c r="C18" s="382"/>
    </row>
    <row r="19" spans="2:4" s="5" customFormat="1" ht="39.9" customHeight="1">
      <c r="B19" s="49" t="s">
        <v>484</v>
      </c>
      <c r="C19" s="382"/>
    </row>
    <row r="20" spans="2:4" s="5" customFormat="1" ht="39.9" customHeight="1">
      <c r="B20" s="383" t="s">
        <v>485</v>
      </c>
      <c r="C20" s="382"/>
    </row>
    <row r="21" spans="2:4" s="5" customFormat="1" ht="39.9" customHeight="1">
      <c r="B21" s="383" t="s">
        <v>486</v>
      </c>
      <c r="C21" s="382"/>
    </row>
    <row r="22" spans="2:4" s="5" customFormat="1" ht="39.9" customHeight="1">
      <c r="B22" s="383" t="s">
        <v>487</v>
      </c>
      <c r="C22" s="382"/>
    </row>
    <row r="23" spans="2:4" s="5" customFormat="1" ht="39.9" customHeight="1">
      <c r="B23" s="383" t="s">
        <v>488</v>
      </c>
      <c r="C23" s="382"/>
    </row>
    <row r="24" spans="2:4" s="5" customFormat="1" ht="39.9" customHeight="1">
      <c r="B24" s="49" t="s">
        <v>530</v>
      </c>
      <c r="C24" s="382"/>
    </row>
    <row r="25" spans="2:4" s="5" customFormat="1" ht="39.9" customHeight="1" thickBot="1">
      <c r="B25" s="50" t="s">
        <v>648</v>
      </c>
      <c r="C25" s="51"/>
      <c r="D25" s="6"/>
    </row>
    <row r="26" spans="2:4" s="5" customFormat="1" ht="39.9" customHeight="1">
      <c r="B26" s="52" t="s">
        <v>258</v>
      </c>
      <c r="C26" s="29"/>
      <c r="D26" s="6"/>
    </row>
    <row r="27" spans="2:4" ht="39.9" customHeight="1">
      <c r="B27" s="53" t="s">
        <v>259</v>
      </c>
    </row>
    <row r="28" spans="2:4" ht="39.9" customHeight="1">
      <c r="B28" s="53" t="s">
        <v>260</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S24"/>
  <sheetViews>
    <sheetView showGridLines="0" zoomScale="80" zoomScaleNormal="80" workbookViewId="0"/>
  </sheetViews>
  <sheetFormatPr defaultColWidth="9.33203125" defaultRowHeight="13.2"/>
  <cols>
    <col min="1" max="1" width="45.6640625" style="384" customWidth="1"/>
    <col min="2" max="4" width="12.6640625" style="384" customWidth="1"/>
    <col min="5" max="5" width="12.6640625" style="11" customWidth="1"/>
    <col min="6" max="18" width="12.6640625" style="384" customWidth="1"/>
    <col min="19" max="39" width="9.6640625" style="384" customWidth="1"/>
    <col min="40" max="16384" width="9.33203125" style="384"/>
  </cols>
  <sheetData>
    <row r="1" spans="1:18" ht="39.75" customHeight="1">
      <c r="A1" s="156" t="s">
        <v>86</v>
      </c>
      <c r="B1" s="15"/>
    </row>
    <row r="2" spans="1:18" ht="39.75" customHeight="1" thickBot="1">
      <c r="A2" s="385" t="s">
        <v>485</v>
      </c>
      <c r="B2" s="385"/>
      <c r="C2" s="385"/>
      <c r="D2" s="385"/>
      <c r="E2" s="385"/>
      <c r="F2" s="385"/>
      <c r="G2" s="385"/>
      <c r="H2" s="385"/>
      <c r="I2" s="385"/>
      <c r="J2" s="385"/>
      <c r="K2" s="385"/>
      <c r="L2" s="385"/>
      <c r="M2" s="385"/>
      <c r="N2" s="385"/>
      <c r="O2" s="385"/>
      <c r="P2" s="385"/>
      <c r="Q2" s="385"/>
      <c r="R2" s="385"/>
    </row>
    <row r="3" spans="1:18">
      <c r="C3" s="482"/>
    </row>
    <row r="4" spans="1:18" s="405" customFormat="1">
      <c r="A4" s="386" t="s">
        <v>553</v>
      </c>
      <c r="B4" s="386"/>
      <c r="C4" s="388"/>
      <c r="D4" s="388"/>
      <c r="E4" s="388"/>
      <c r="F4" s="388"/>
      <c r="G4" s="388"/>
      <c r="H4" s="388"/>
      <c r="I4" s="388"/>
      <c r="J4" s="388"/>
      <c r="K4" s="388"/>
      <c r="L4" s="597"/>
      <c r="M4" s="597"/>
      <c r="N4" s="597"/>
      <c r="O4" s="597"/>
      <c r="P4" s="597"/>
      <c r="Q4" s="597"/>
      <c r="R4" s="597"/>
    </row>
    <row r="5" spans="1:18" s="486" customFormat="1" ht="15.75" customHeight="1">
      <c r="A5" s="483"/>
      <c r="B5" s="484" t="s">
        <v>107</v>
      </c>
      <c r="C5" s="484" t="s">
        <v>603</v>
      </c>
      <c r="D5" s="484" t="s">
        <v>604</v>
      </c>
      <c r="E5" s="485"/>
      <c r="F5" s="484" t="s">
        <v>605</v>
      </c>
      <c r="G5" s="484" t="s">
        <v>606</v>
      </c>
      <c r="H5" s="484" t="s">
        <v>607</v>
      </c>
      <c r="I5" s="484" t="s">
        <v>608</v>
      </c>
      <c r="J5" s="484" t="s">
        <v>609</v>
      </c>
      <c r="K5" s="484" t="s">
        <v>610</v>
      </c>
      <c r="L5" s="598" t="s">
        <v>611</v>
      </c>
      <c r="M5" s="598" t="s">
        <v>612</v>
      </c>
      <c r="N5" s="598" t="s">
        <v>613</v>
      </c>
      <c r="O5" s="598" t="s">
        <v>614</v>
      </c>
      <c r="P5" s="598" t="s">
        <v>615</v>
      </c>
      <c r="Q5" s="598" t="s">
        <v>616</v>
      </c>
      <c r="R5" s="598" t="s">
        <v>617</v>
      </c>
    </row>
    <row r="6" spans="1:18" s="405" customFormat="1">
      <c r="A6" s="406" t="s">
        <v>601</v>
      </c>
      <c r="B6" s="487"/>
      <c r="C6" s="487"/>
      <c r="D6" s="487"/>
      <c r="E6" s="488"/>
      <c r="F6" s="489"/>
      <c r="G6" s="487"/>
      <c r="H6" s="487"/>
      <c r="I6" s="487"/>
      <c r="J6" s="487"/>
      <c r="K6" s="487"/>
      <c r="L6" s="487"/>
      <c r="M6" s="487"/>
      <c r="N6" s="487"/>
      <c r="O6" s="487"/>
      <c r="P6" s="487"/>
      <c r="Q6" s="487"/>
      <c r="R6" s="487"/>
    </row>
    <row r="7" spans="1:18" s="405" customFormat="1">
      <c r="A7" s="397" t="s">
        <v>512</v>
      </c>
      <c r="B7" s="490">
        <v>53.487157999999994</v>
      </c>
      <c r="C7" s="490">
        <v>51.303857999999998</v>
      </c>
      <c r="D7" s="490">
        <v>40.231199999999994</v>
      </c>
      <c r="E7" s="491"/>
      <c r="F7" s="492">
        <f>11834.95/1000</f>
        <v>11.834950000000001</v>
      </c>
      <c r="G7" s="490">
        <f>17626.814/1000</f>
        <v>17.626814</v>
      </c>
      <c r="H7" s="490">
        <f>10926.441/1000</f>
        <v>10.926441000000001</v>
      </c>
      <c r="I7" s="490">
        <f>9055.444/1000</f>
        <v>9.0554439999999996</v>
      </c>
      <c r="J7" s="490">
        <f>15878.459/1000</f>
        <v>15.878459000000001</v>
      </c>
      <c r="K7" s="490">
        <f>16552.903/1000</f>
        <v>16.552902999999997</v>
      </c>
      <c r="L7" s="490">
        <f>9267.202/1000</f>
        <v>9.2672019999999993</v>
      </c>
      <c r="M7" s="490">
        <f>10062.416/1000</f>
        <v>10.062415999999999</v>
      </c>
      <c r="N7" s="490">
        <f>15421.337/1000</f>
        <v>15.421336999999999</v>
      </c>
      <c r="O7" s="490">
        <f>10407.843/1000</f>
        <v>10.407843000000002</v>
      </c>
      <c r="P7" s="490">
        <f>9580.954/1000</f>
        <v>9.5809540000000002</v>
      </c>
      <c r="Q7" s="490">
        <f>8830.081/1000</f>
        <v>8.8300809999999998</v>
      </c>
      <c r="R7" s="490">
        <f>11412.322/1000</f>
        <v>11.412322</v>
      </c>
    </row>
    <row r="8" spans="1:18" s="405" customFormat="1">
      <c r="A8" s="397" t="s">
        <v>513</v>
      </c>
      <c r="B8" s="490">
        <v>39.407816999999994</v>
      </c>
      <c r="C8" s="490">
        <v>37.849522999999998</v>
      </c>
      <c r="D8" s="490">
        <f>29256.949/1000</f>
        <v>29.256948999999999</v>
      </c>
      <c r="E8" s="491"/>
      <c r="F8" s="492">
        <f>8885.945/1000</f>
        <v>8.8859449999999995</v>
      </c>
      <c r="G8" s="490">
        <f>13551.315/1000</f>
        <v>13.551315000000001</v>
      </c>
      <c r="H8" s="490">
        <f>8646.119/1000</f>
        <v>8.6461190000000006</v>
      </c>
      <c r="I8" s="490">
        <f>6364.406/1000</f>
        <v>6.3644059999999998</v>
      </c>
      <c r="J8" s="490">
        <f>10845.977/1000</f>
        <v>10.845977000000001</v>
      </c>
      <c r="K8" s="490">
        <f>12133.741/1000</f>
        <v>12.133741000000001</v>
      </c>
      <c r="L8" s="490">
        <f>7630.494/1000</f>
        <v>7.6304939999999997</v>
      </c>
      <c r="M8" s="490">
        <f>7584.528/1000</f>
        <v>7.5845280000000006</v>
      </c>
      <c r="N8" s="490">
        <f>10500.76/1000</f>
        <v>10.50076</v>
      </c>
      <c r="O8" s="490">
        <f>7781.723/1000</f>
        <v>7.7817230000000004</v>
      </c>
      <c r="P8" s="490">
        <f>7474.595/1000</f>
        <v>7.4745949999999999</v>
      </c>
      <c r="Q8" s="490">
        <f>6134.634/1000</f>
        <v>6.1346340000000001</v>
      </c>
      <c r="R8" s="490">
        <f>7865.997/1000</f>
        <v>7.8659970000000001</v>
      </c>
    </row>
    <row r="9" spans="1:18" s="405" customFormat="1">
      <c r="A9" s="397" t="s">
        <v>493</v>
      </c>
      <c r="B9" s="490">
        <v>61.794019999999996</v>
      </c>
      <c r="C9" s="490">
        <v>53.580560000000006</v>
      </c>
      <c r="D9" s="490">
        <f>46410.659/1000</f>
        <v>46.410659000000003</v>
      </c>
      <c r="E9" s="491"/>
      <c r="F9" s="492">
        <f>13912.07/1000</f>
        <v>13.91207</v>
      </c>
      <c r="G9" s="490">
        <f>21237.051/1000</f>
        <v>21.237051000000001</v>
      </c>
      <c r="H9" s="490">
        <f>11742.007/1000</f>
        <v>11.742006999999999</v>
      </c>
      <c r="I9" s="490">
        <f>11745.549/1000</f>
        <v>11.745549</v>
      </c>
      <c r="J9" s="490">
        <f>17069.413/1000</f>
        <v>17.069413000000001</v>
      </c>
      <c r="K9" s="490">
        <f>18480.985/1000</f>
        <v>18.480985</v>
      </c>
      <c r="L9" s="490">
        <f>9253.918/1000</f>
        <v>9.2539180000000005</v>
      </c>
      <c r="M9" s="490">
        <f>10212.581/1000</f>
        <v>10.212581</v>
      </c>
      <c r="N9" s="490">
        <f>15633.076/1000</f>
        <v>15.633075999999999</v>
      </c>
      <c r="O9" s="490">
        <f>11391.508/1000</f>
        <v>11.391508</v>
      </c>
      <c r="P9" s="490">
        <f>10232.428/1000</f>
        <v>10.232428000000001</v>
      </c>
      <c r="Q9" s="490">
        <f>10576.401/1000</f>
        <v>10.576401000000001</v>
      </c>
      <c r="R9" s="490">
        <f>14210.322/1000</f>
        <v>14.210322</v>
      </c>
    </row>
    <row r="10" spans="1:18" s="405" customFormat="1">
      <c r="A10" s="397" t="s">
        <v>495</v>
      </c>
      <c r="B10" s="490">
        <v>81.664469000000011</v>
      </c>
      <c r="C10" s="490">
        <v>83.327902000000009</v>
      </c>
      <c r="D10" s="490">
        <f>67303.833/1000</f>
        <v>67.303832999999997</v>
      </c>
      <c r="E10" s="491"/>
      <c r="F10" s="492">
        <f>19608.649/1000</f>
        <v>19.608649</v>
      </c>
      <c r="G10" s="490">
        <f>27153.4729999999/1000</f>
        <v>27.153472999999899</v>
      </c>
      <c r="H10" s="490">
        <f>17754.978/1000</f>
        <v>17.754977999999998</v>
      </c>
      <c r="I10" s="490">
        <f>14064.282/1000</f>
        <v>14.064281999999999</v>
      </c>
      <c r="J10" s="490">
        <f>22691.736/1000</f>
        <v>22.691736000000002</v>
      </c>
      <c r="K10" s="490">
        <f>25255.612/1000</f>
        <v>25.255611999999999</v>
      </c>
      <c r="L10" s="490">
        <f>17225.295/1000</f>
        <v>17.225294999999999</v>
      </c>
      <c r="M10" s="490">
        <f>16669.825/1000</f>
        <v>16.669824999999999</v>
      </c>
      <c r="N10" s="490">
        <f>24177.17/1000</f>
        <v>24.177169999999997</v>
      </c>
      <c r="O10" s="490">
        <f>17589.83/1000</f>
        <v>17.589830000000003</v>
      </c>
      <c r="P10" s="490">
        <f>17315.467/1000</f>
        <v>17.315467000000002</v>
      </c>
      <c r="Q10" s="490">
        <f>14498.063/1000</f>
        <v>14.498063</v>
      </c>
      <c r="R10" s="490">
        <f>17900.473/1000</f>
        <v>17.900473000000002</v>
      </c>
    </row>
    <row r="11" spans="1:18" s="405" customFormat="1" ht="13.8" thickBot="1">
      <c r="A11" s="493" t="s">
        <v>81</v>
      </c>
      <c r="B11" s="494">
        <f>SUM(B7:B10)</f>
        <v>236.35346399999997</v>
      </c>
      <c r="C11" s="494">
        <f>SUM(C7:C10)</f>
        <v>226.06184300000001</v>
      </c>
      <c r="D11" s="494">
        <f>SUM(D7:D10)</f>
        <v>183.202641</v>
      </c>
      <c r="E11" s="495"/>
      <c r="F11" s="496">
        <f t="shared" ref="F11:R11" si="0">SUM(F7:F10)</f>
        <v>54.241613999999998</v>
      </c>
      <c r="G11" s="494">
        <f t="shared" si="0"/>
        <v>79.568652999999898</v>
      </c>
      <c r="H11" s="494">
        <f t="shared" si="0"/>
        <v>49.069545000000005</v>
      </c>
      <c r="I11" s="494">
        <f t="shared" si="0"/>
        <v>41.229680999999999</v>
      </c>
      <c r="J11" s="494">
        <f t="shared" si="0"/>
        <v>66.485585000000015</v>
      </c>
      <c r="K11" s="494">
        <f t="shared" si="0"/>
        <v>72.42324099999999</v>
      </c>
      <c r="L11" s="494">
        <f t="shared" si="0"/>
        <v>43.376908999999998</v>
      </c>
      <c r="M11" s="494">
        <f t="shared" si="0"/>
        <v>44.529349999999994</v>
      </c>
      <c r="N11" s="494">
        <f t="shared" si="0"/>
        <v>65.732342999999986</v>
      </c>
      <c r="O11" s="494">
        <f t="shared" si="0"/>
        <v>47.170904000000007</v>
      </c>
      <c r="P11" s="494">
        <f t="shared" si="0"/>
        <v>44.603443999999996</v>
      </c>
      <c r="Q11" s="494">
        <f t="shared" si="0"/>
        <v>40.039179000000004</v>
      </c>
      <c r="R11" s="494">
        <f t="shared" si="0"/>
        <v>51.389114000000006</v>
      </c>
    </row>
    <row r="12" spans="1:18" s="405" customFormat="1">
      <c r="A12" s="497" t="s">
        <v>638</v>
      </c>
      <c r="B12" s="498"/>
      <c r="C12" s="498"/>
      <c r="D12" s="498"/>
      <c r="E12" s="491"/>
      <c r="F12" s="499"/>
      <c r="G12" s="498"/>
      <c r="H12" s="498"/>
      <c r="I12" s="498"/>
      <c r="J12" s="498"/>
      <c r="K12" s="498"/>
      <c r="L12" s="498"/>
      <c r="M12" s="498"/>
      <c r="N12" s="498"/>
      <c r="O12" s="498"/>
      <c r="P12" s="498"/>
      <c r="Q12" s="498"/>
      <c r="R12" s="498"/>
    </row>
    <row r="13" spans="1:18">
      <c r="A13" s="397" t="s">
        <v>512</v>
      </c>
      <c r="B13" s="500">
        <f t="shared" ref="B13:C13" si="1">B7/(19*24*365)*1000</f>
        <v>0.32135999759673151</v>
      </c>
      <c r="C13" s="500">
        <f t="shared" si="1"/>
        <v>0.30824235760634461</v>
      </c>
      <c r="D13" s="500">
        <f>D7/(19*24*365)*1000</f>
        <v>0.24171593366979088</v>
      </c>
      <c r="E13" s="501"/>
      <c r="F13" s="502">
        <f>F7/(19*2160)*1000</f>
        <v>0.28837597465886938</v>
      </c>
      <c r="G13" s="503">
        <f>G7/(19*2160)*1000</f>
        <v>0.42950326510721248</v>
      </c>
      <c r="H13" s="503">
        <f>H7/(19*2184)*1000</f>
        <v>0.26331311451706191</v>
      </c>
      <c r="I13" s="503">
        <f>I7/(19*2208)*1000</f>
        <v>0.21585249809305873</v>
      </c>
      <c r="J13" s="503">
        <f>J7/(19*2208)*1000</f>
        <v>0.37849110888634635</v>
      </c>
      <c r="K13" s="503">
        <f>K7/(19*2160)*1000</f>
        <v>0.40333584307992193</v>
      </c>
      <c r="L13" s="503">
        <f>L7/(19*2184)*1000</f>
        <v>0.2233275978407557</v>
      </c>
      <c r="M13" s="503">
        <f>M7/(19*2208)*1000</f>
        <v>0.23985545385202134</v>
      </c>
      <c r="N13" s="503">
        <f>N7/(19*2208)*1000</f>
        <v>0.36759479881769641</v>
      </c>
      <c r="O13" s="503">
        <f>O7/(19*2160)*1000</f>
        <v>0.25360241228070179</v>
      </c>
      <c r="P13" s="503">
        <f>P7/(19*2184)*1000</f>
        <v>0.23088861577019471</v>
      </c>
      <c r="Q13" s="503">
        <f>Q7/(19*2208)*1000</f>
        <v>0.21048057303585049</v>
      </c>
      <c r="R13" s="503">
        <f>R7/(19*2208)*1000</f>
        <v>0.27203284706331043</v>
      </c>
    </row>
    <row r="14" spans="1:18">
      <c r="A14" s="397" t="s">
        <v>513</v>
      </c>
      <c r="B14" s="500">
        <f t="shared" ref="B14:C14" si="2">B8/(15*24*365)*1000</f>
        <v>0.29990728310502279</v>
      </c>
      <c r="C14" s="500">
        <f t="shared" si="2"/>
        <v>0.28804812024353116</v>
      </c>
      <c r="D14" s="500">
        <f>D8/(15*24*365)*1000</f>
        <v>0.22265562404870623</v>
      </c>
      <c r="E14" s="501"/>
      <c r="F14" s="502">
        <f>F8/(15*2160)*1000</f>
        <v>0.27425756172839505</v>
      </c>
      <c r="G14" s="503">
        <f>G8/(15*2160)*1000</f>
        <v>0.41825046296296298</v>
      </c>
      <c r="H14" s="503">
        <f>H8/(15*2184)*1000</f>
        <v>0.26392304639804642</v>
      </c>
      <c r="I14" s="503">
        <f>I8/(15*2208)*1000</f>
        <v>0.19216201690821255</v>
      </c>
      <c r="J14" s="503">
        <f>J8/(15*2208)*1000</f>
        <v>0.32747515096618357</v>
      </c>
      <c r="K14" s="503">
        <f>K8/(15*2160)*1000</f>
        <v>0.37449817901234572</v>
      </c>
      <c r="L14" s="503">
        <f>L8/(15*2184)*1000</f>
        <v>0.23292106227106224</v>
      </c>
      <c r="M14" s="503">
        <f>M8/(15*2208)*1000</f>
        <v>0.22900144927536234</v>
      </c>
      <c r="N14" s="503">
        <f>N8/(15*2208)*1000</f>
        <v>0.31705193236714974</v>
      </c>
      <c r="O14" s="503">
        <f>O8/(15*2160)*1000</f>
        <v>0.24017663580246915</v>
      </c>
      <c r="P14" s="503">
        <f>P8/(15*2184)*1000</f>
        <v>0.22816224053724052</v>
      </c>
      <c r="Q14" s="503">
        <f>Q8/(15*2208)*1000</f>
        <v>0.18522445652173913</v>
      </c>
      <c r="R14" s="503">
        <f>R8/(15*2208)*1000</f>
        <v>0.23749990942028987</v>
      </c>
    </row>
    <row r="15" spans="1:18">
      <c r="A15" s="397" t="s">
        <v>493</v>
      </c>
      <c r="B15" s="500">
        <f t="shared" ref="B15:C15" si="3">B9/(18*24*365)*1000</f>
        <v>0.39189510400811767</v>
      </c>
      <c r="C15" s="500">
        <f t="shared" si="3"/>
        <v>0.33980568239472353</v>
      </c>
      <c r="D15" s="500">
        <f>D9/(18*24*365)*1000</f>
        <v>0.29433446854388634</v>
      </c>
      <c r="E15" s="501"/>
      <c r="F15" s="502">
        <f>F9/(18*2160)*1000</f>
        <v>0.35782073045267493</v>
      </c>
      <c r="G15" s="503">
        <f>G9/(18*2160)*1000</f>
        <v>0.54622044753086418</v>
      </c>
      <c r="H15" s="503">
        <f>H9/(18*2184)*1000</f>
        <v>0.29868760175010173</v>
      </c>
      <c r="I15" s="503">
        <f>I9/(18*2208)*1000</f>
        <v>0.2955301177536232</v>
      </c>
      <c r="J15" s="503">
        <f>J9/(18*2208)*1000</f>
        <v>0.42948402274557168</v>
      </c>
      <c r="K15" s="503">
        <f>K9/(18*2160)*1000</f>
        <v>0.47533397633744862</v>
      </c>
      <c r="L15" s="503">
        <f>L9/(18*2184)*1000</f>
        <v>0.23539677452177454</v>
      </c>
      <c r="M15" s="503">
        <f>M9/(18*2208)*1000</f>
        <v>0.25695906300322058</v>
      </c>
      <c r="N15" s="503">
        <f>N9/(18*2208)*1000</f>
        <v>0.39334430354267308</v>
      </c>
      <c r="O15" s="503">
        <f>O9/(18*2160)*1000</f>
        <v>0.29299146090534978</v>
      </c>
      <c r="P15" s="503">
        <f>P9/(18*2184)*1000</f>
        <v>0.2602876475376476</v>
      </c>
      <c r="Q15" s="503">
        <f>Q9/(18*2208)*1000</f>
        <v>0.26611314915458939</v>
      </c>
      <c r="R15" s="503">
        <f>R9/(18*2208)*1000</f>
        <v>0.35754634661835749</v>
      </c>
    </row>
    <row r="16" spans="1:18">
      <c r="A16" s="397" t="s">
        <v>495</v>
      </c>
      <c r="B16" s="500">
        <f t="shared" ref="B16:C16" si="4">B10/(24*24*365)*1000</f>
        <v>0.3884344986681888</v>
      </c>
      <c r="C16" s="500">
        <f t="shared" si="4"/>
        <v>0.39634656582952821</v>
      </c>
      <c r="D16" s="500">
        <f>D10/(24*24*365)*1000</f>
        <v>0.32012858162100455</v>
      </c>
      <c r="E16" s="501"/>
      <c r="F16" s="502">
        <f>F10/(24*2160)*1000</f>
        <v>0.37825326003086418</v>
      </c>
      <c r="G16" s="503">
        <f>G10/(24*2160)*1000</f>
        <v>0.52379384645061533</v>
      </c>
      <c r="H16" s="503">
        <f>H10/(24*2184)*1000</f>
        <v>0.33873202838827832</v>
      </c>
      <c r="I16" s="503">
        <f>I10/(24*2208)*1000</f>
        <v>0.26540387228260864</v>
      </c>
      <c r="J16" s="503">
        <f>J10/(24*2208)*1000</f>
        <v>0.428210597826087</v>
      </c>
      <c r="K16" s="503">
        <f>K10/(24*2160)*1000</f>
        <v>0.4871838734567901</v>
      </c>
      <c r="L16" s="503">
        <f>L10/(24*2184)*1000</f>
        <v>0.32862665979853478</v>
      </c>
      <c r="M16" s="503">
        <f>M10/(24*2208)*1000</f>
        <v>0.31457248263888887</v>
      </c>
      <c r="N16" s="503">
        <f>N10/(24*2208)*1000</f>
        <v>0.45624188556763279</v>
      </c>
      <c r="O16" s="503">
        <f>O10/(24*2160)*1000</f>
        <v>0.3393099922839507</v>
      </c>
      <c r="P16" s="503">
        <f>P10/(24*2184)*1000</f>
        <v>0.33034697420634923</v>
      </c>
      <c r="Q16" s="503">
        <f>Q10/(24*2208)*1000</f>
        <v>0.27358965504227056</v>
      </c>
      <c r="R16" s="503">
        <f>R10/(24*2208)*1000</f>
        <v>0.33779576162439617</v>
      </c>
    </row>
    <row r="17" spans="1:19" ht="13.8" thickBot="1">
      <c r="A17" s="493" t="s">
        <v>81</v>
      </c>
      <c r="B17" s="504">
        <f t="shared" ref="B17:C17" si="5">B11/(76*24*365)*1000</f>
        <v>0.35501301369863014</v>
      </c>
      <c r="C17" s="504">
        <f t="shared" si="5"/>
        <v>0.33955455869983175</v>
      </c>
      <c r="D17" s="504">
        <f>D11/(76*24*365)*1000</f>
        <v>0.27517820385724584</v>
      </c>
      <c r="E17" s="505"/>
      <c r="F17" s="506">
        <f>F11/(76*2160)*1000</f>
        <v>0.33041918859649122</v>
      </c>
      <c r="G17" s="507">
        <f>G11/(76*2160)*1000</f>
        <v>0.48470183357699742</v>
      </c>
      <c r="H17" s="507">
        <f>H11/(76*2184)*1000</f>
        <v>0.29562816295546562</v>
      </c>
      <c r="I17" s="507">
        <f>I11/(76*2208)*1000</f>
        <v>0.24569556278604118</v>
      </c>
      <c r="J17" s="507">
        <f>J11/(76*2208)*1000</f>
        <v>0.3962003301392068</v>
      </c>
      <c r="K17" s="507">
        <f>K11/(76*2160)*1000</f>
        <v>0.44117471369395705</v>
      </c>
      <c r="L17" s="507">
        <f>L11/(76*2184)*1000</f>
        <v>0.26133186933680352</v>
      </c>
      <c r="M17" s="507">
        <f>M11/(76*2208)*1000</f>
        <v>0.26535892210144923</v>
      </c>
      <c r="N17" s="507">
        <f>N11/(76*2208)*1000</f>
        <v>0.39171161684782602</v>
      </c>
      <c r="O17" s="507">
        <f>O11/(76*2160)*1000</f>
        <v>0.28734712475633534</v>
      </c>
      <c r="P17" s="507">
        <f>P11/(76*2184)*1000</f>
        <v>0.26872134663582026</v>
      </c>
      <c r="Q17" s="507">
        <f>Q11/(76*2208)*1000</f>
        <v>0.23860113343821512</v>
      </c>
      <c r="R17" s="507">
        <f>R11/(76*2208)*1000</f>
        <v>0.30623756912662092</v>
      </c>
    </row>
    <row r="18" spans="1:19" s="405" customFormat="1">
      <c r="A18" s="497" t="s">
        <v>602</v>
      </c>
      <c r="B18" s="498"/>
      <c r="C18" s="498"/>
      <c r="D18" s="498"/>
      <c r="E18" s="491"/>
      <c r="F18" s="499"/>
      <c r="G18" s="498"/>
      <c r="H18" s="498"/>
      <c r="I18" s="498"/>
      <c r="J18" s="498"/>
      <c r="K18" s="498"/>
      <c r="L18" s="498"/>
      <c r="M18" s="498"/>
      <c r="N18" s="498"/>
      <c r="O18" s="498"/>
      <c r="P18" s="498"/>
      <c r="Q18" s="498"/>
      <c r="R18" s="498"/>
    </row>
    <row r="19" spans="1:19">
      <c r="A19" s="397" t="s">
        <v>512</v>
      </c>
      <c r="B19" s="490">
        <f>SUM(L19:N19)</f>
        <v>27.569604736842106</v>
      </c>
      <c r="C19" s="490">
        <f>SUM(K19:N19)</f>
        <v>33.930681578947372</v>
      </c>
      <c r="D19" s="490">
        <v>33.700000000000003</v>
      </c>
      <c r="E19" s="491"/>
      <c r="F19" s="492">
        <v>11.052631578947368</v>
      </c>
      <c r="G19" s="490">
        <v>11.789473684210526</v>
      </c>
      <c r="H19" s="490">
        <v>11.526315789473685</v>
      </c>
      <c r="I19" s="490">
        <v>11.368421052631579</v>
      </c>
      <c r="J19" s="490">
        <v>11.684210526315789</v>
      </c>
      <c r="K19" s="490">
        <v>6.3610768421052635</v>
      </c>
      <c r="L19" s="490">
        <v>7.2390799999999995</v>
      </c>
      <c r="M19" s="490">
        <v>6.5578931578947373</v>
      </c>
      <c r="N19" s="490">
        <v>13.772631578947369</v>
      </c>
      <c r="O19" s="490">
        <v>5.7430346597710233</v>
      </c>
      <c r="P19" s="490">
        <v>6.5357310368688744</v>
      </c>
      <c r="Q19" s="490">
        <v>5.920728303668791</v>
      </c>
      <c r="R19" s="490">
        <v>12.434482789233812</v>
      </c>
      <c r="S19" s="508"/>
    </row>
    <row r="20" spans="1:19">
      <c r="A20" s="397" t="s">
        <v>513</v>
      </c>
      <c r="B20" s="490">
        <f>SUM(L20:N20)</f>
        <v>29.783293999999998</v>
      </c>
      <c r="C20" s="490">
        <f>SUM(K20:N20)</f>
        <v>35.997518666666664</v>
      </c>
      <c r="D20" s="490">
        <v>32.5</v>
      </c>
      <c r="E20" s="491"/>
      <c r="F20" s="492">
        <v>11.866666666666667</v>
      </c>
      <c r="G20" s="490">
        <v>9.4666666666666668</v>
      </c>
      <c r="H20" s="490">
        <v>9</v>
      </c>
      <c r="I20" s="490">
        <v>7.2</v>
      </c>
      <c r="J20" s="490">
        <v>15.866666666666667</v>
      </c>
      <c r="K20" s="490">
        <v>6.2142246666666656</v>
      </c>
      <c r="L20" s="490">
        <v>7.0470493333333328</v>
      </c>
      <c r="M20" s="490">
        <v>7.3702446666666663</v>
      </c>
      <c r="N20" s="490">
        <v>15.366000000000001</v>
      </c>
      <c r="O20" s="490">
        <v>5.6104506406904564</v>
      </c>
      <c r="P20" s="490">
        <v>6.3623580684579775</v>
      </c>
      <c r="Q20" s="490">
        <v>6.6541517454221566</v>
      </c>
      <c r="R20" s="490">
        <v>13.87303954542941</v>
      </c>
      <c r="S20" s="508"/>
    </row>
    <row r="21" spans="1:19">
      <c r="A21" s="397" t="s">
        <v>493</v>
      </c>
      <c r="B21" s="490">
        <f>SUM(L21:N21)</f>
        <v>16.833333333333332</v>
      </c>
      <c r="C21" s="490">
        <f>SUM(K21:N21)</f>
        <v>22.444444444444443</v>
      </c>
      <c r="D21" s="490">
        <f>SUM(Q21:R21)</f>
        <v>12.055555555555555</v>
      </c>
      <c r="E21" s="491"/>
      <c r="F21" s="492">
        <v>9</v>
      </c>
      <c r="G21" s="490">
        <v>6.166666666666667</v>
      </c>
      <c r="H21" s="490">
        <v>6.166666666666667</v>
      </c>
      <c r="I21" s="490">
        <v>6.7222222222222223</v>
      </c>
      <c r="J21" s="490">
        <v>8.2222222222222214</v>
      </c>
      <c r="K21" s="490">
        <v>5.6111111111111107</v>
      </c>
      <c r="L21" s="490">
        <v>5.6111111111111107</v>
      </c>
      <c r="M21" s="490">
        <v>3.7222222222222223</v>
      </c>
      <c r="N21" s="490">
        <v>7.5</v>
      </c>
      <c r="O21" s="490">
        <v>5.6111111111111107</v>
      </c>
      <c r="P21" s="490">
        <v>5.6111111111111107</v>
      </c>
      <c r="Q21" s="490">
        <v>5.9444444444444446</v>
      </c>
      <c r="R21" s="490">
        <v>6.1111111111111107</v>
      </c>
      <c r="S21" s="508"/>
    </row>
    <row r="22" spans="1:19">
      <c r="A22" s="397" t="s">
        <v>495</v>
      </c>
      <c r="B22" s="490">
        <f>SUM(L22:N22)</f>
        <v>25.4709</v>
      </c>
      <c r="C22" s="490">
        <f>SUM(K22:N22)</f>
        <v>34.5959</v>
      </c>
      <c r="D22" s="490">
        <f>SUM(Q22:R22)</f>
        <v>16.333333333333336</v>
      </c>
      <c r="E22" s="491"/>
      <c r="F22" s="492">
        <v>8.4166666666666661</v>
      </c>
      <c r="G22" s="490">
        <v>8.375</v>
      </c>
      <c r="H22" s="490">
        <v>8.5</v>
      </c>
      <c r="I22" s="490">
        <v>9.3333333333333339</v>
      </c>
      <c r="J22" s="490">
        <v>9.2916666666666661</v>
      </c>
      <c r="K22" s="490">
        <v>9.125</v>
      </c>
      <c r="L22" s="490">
        <v>8.7887008333333334</v>
      </c>
      <c r="M22" s="490">
        <v>9.7846991666666678</v>
      </c>
      <c r="N22" s="490">
        <v>6.8975000000000009</v>
      </c>
      <c r="O22" s="490">
        <v>7.041666666666667</v>
      </c>
      <c r="P22" s="490">
        <v>7.458333333333333</v>
      </c>
      <c r="Q22" s="490">
        <v>7.75</v>
      </c>
      <c r="R22" s="490">
        <v>8.5833333333333339</v>
      </c>
      <c r="S22" s="508"/>
    </row>
    <row r="23" spans="1:19">
      <c r="A23" s="463" t="s">
        <v>514</v>
      </c>
      <c r="B23" s="464"/>
    </row>
    <row r="24" spans="1:19">
      <c r="A24" s="46"/>
      <c r="B24" s="46"/>
    </row>
  </sheetData>
  <conditionalFormatting sqref="C7:C11 E7:K11">
    <cfRule type="expression" dxfId="186" priority="67">
      <formula>#REF!=0</formula>
    </cfRule>
  </conditionalFormatting>
  <conditionalFormatting sqref="C19:C22 E19:K20">
    <cfRule type="expression" dxfId="185" priority="66">
      <formula>#REF!=0</formula>
    </cfRule>
  </conditionalFormatting>
  <conditionalFormatting sqref="E21:K21">
    <cfRule type="expression" dxfId="184" priority="65">
      <formula>#REF!=0</formula>
    </cfRule>
  </conditionalFormatting>
  <conditionalFormatting sqref="C18 E22:K22 C6:C12 E18:K18 E6:K12">
    <cfRule type="expression" dxfId="183" priority="64">
      <formula>#REF!=0</formula>
    </cfRule>
  </conditionalFormatting>
  <conditionalFormatting sqref="K8">
    <cfRule type="expression" dxfId="182" priority="47">
      <formula>#REF!=0</formula>
    </cfRule>
  </conditionalFormatting>
  <conditionalFormatting sqref="G9:G10">
    <cfRule type="expression" dxfId="181" priority="62">
      <formula>#REF!=0</formula>
    </cfRule>
  </conditionalFormatting>
  <conditionalFormatting sqref="F6:K6">
    <cfRule type="expression" dxfId="180" priority="61">
      <formula>#REF!=0</formula>
    </cfRule>
  </conditionalFormatting>
  <conditionalFormatting sqref="K12">
    <cfRule type="expression" dxfId="179" priority="59">
      <formula>#REF!=0</formula>
    </cfRule>
  </conditionalFormatting>
  <conditionalFormatting sqref="G12">
    <cfRule type="expression" dxfId="178" priority="58">
      <formula>#REF!=0</formula>
    </cfRule>
  </conditionalFormatting>
  <conditionalFormatting sqref="F19:K22">
    <cfRule type="expression" dxfId="177" priority="41">
      <formula>#REF!=0</formula>
    </cfRule>
  </conditionalFormatting>
  <conditionalFormatting sqref="K18">
    <cfRule type="expression" dxfId="176" priority="56">
      <formula>#REF!=0</formula>
    </cfRule>
  </conditionalFormatting>
  <conditionalFormatting sqref="G18">
    <cfRule type="expression" dxfId="175" priority="55">
      <formula>#REF!=0</formula>
    </cfRule>
  </conditionalFormatting>
  <conditionalFormatting sqref="H6:K6">
    <cfRule type="expression" dxfId="174" priority="54">
      <formula>#REF!=0</formula>
    </cfRule>
  </conditionalFormatting>
  <conditionalFormatting sqref="K6">
    <cfRule type="expression" dxfId="173" priority="53">
      <formula>#REF!=0</formula>
    </cfRule>
  </conditionalFormatting>
  <conditionalFormatting sqref="G6">
    <cfRule type="expression" dxfId="172" priority="52">
      <formula>#REF!=0</formula>
    </cfRule>
  </conditionalFormatting>
  <conditionalFormatting sqref="H7:K7">
    <cfRule type="expression" dxfId="171" priority="51">
      <formula>#REF!=0</formula>
    </cfRule>
  </conditionalFormatting>
  <conditionalFormatting sqref="K7">
    <cfRule type="expression" dxfId="170" priority="50">
      <formula>#REF!=0</formula>
    </cfRule>
  </conditionalFormatting>
  <conditionalFormatting sqref="G7">
    <cfRule type="expression" dxfId="169" priority="49">
      <formula>#REF!=0</formula>
    </cfRule>
  </conditionalFormatting>
  <conditionalFormatting sqref="H8:K8">
    <cfRule type="expression" dxfId="168" priority="48">
      <formula>#REF!=0</formula>
    </cfRule>
  </conditionalFormatting>
  <conditionalFormatting sqref="G8">
    <cfRule type="expression" dxfId="167" priority="46">
      <formula>#REF!=0</formula>
    </cfRule>
  </conditionalFormatting>
  <conditionalFormatting sqref="D11">
    <cfRule type="expression" dxfId="166" priority="29">
      <formula>#REF!=0</formula>
    </cfRule>
  </conditionalFormatting>
  <conditionalFormatting sqref="D19:D22">
    <cfRule type="expression" dxfId="165" priority="28">
      <formula>#REF!=0</formula>
    </cfRule>
  </conditionalFormatting>
  <conditionalFormatting sqref="D11">
    <cfRule type="expression" dxfId="164" priority="27">
      <formula>#REF!=0</formula>
    </cfRule>
  </conditionalFormatting>
  <conditionalFormatting sqref="D9:D10">
    <cfRule type="expression" dxfId="163" priority="26">
      <formula>#REF!=0</formula>
    </cfRule>
  </conditionalFormatting>
  <conditionalFormatting sqref="H19:K22">
    <cfRule type="expression" dxfId="162" priority="40">
      <formula>#REF!=0</formula>
    </cfRule>
  </conditionalFormatting>
  <conditionalFormatting sqref="D12">
    <cfRule type="expression" dxfId="161" priority="21">
      <formula>#REF!=0</formula>
    </cfRule>
  </conditionalFormatting>
  <conditionalFormatting sqref="K19:K22">
    <cfRule type="expression" dxfId="160" priority="39">
      <formula>#REF!=0</formula>
    </cfRule>
  </conditionalFormatting>
  <conditionalFormatting sqref="G19:G22">
    <cfRule type="expression" dxfId="159" priority="38">
      <formula>#REF!=0</formula>
    </cfRule>
  </conditionalFormatting>
  <conditionalFormatting sqref="D7:D8">
    <cfRule type="expression" dxfId="158" priority="17">
      <formula>#REF!=0</formula>
    </cfRule>
  </conditionalFormatting>
  <conditionalFormatting sqref="D18">
    <cfRule type="expression" dxfId="157" priority="20">
      <formula>#REF!=0</formula>
    </cfRule>
  </conditionalFormatting>
  <conditionalFormatting sqref="D18">
    <cfRule type="expression" dxfId="156" priority="19">
      <formula>#REF!=0</formula>
    </cfRule>
  </conditionalFormatting>
  <conditionalFormatting sqref="D7:D8">
    <cfRule type="expression" dxfId="155" priority="18">
      <formula>#REF!=0</formula>
    </cfRule>
  </conditionalFormatting>
  <conditionalFormatting sqref="B7:B11">
    <cfRule type="expression" dxfId="154" priority="32">
      <formula>#REF!=0</formula>
    </cfRule>
  </conditionalFormatting>
  <conditionalFormatting sqref="B19:B22">
    <cfRule type="expression" dxfId="153" priority="31">
      <formula>#REF!=0</formula>
    </cfRule>
  </conditionalFormatting>
  <conditionalFormatting sqref="B6:B12 B18">
    <cfRule type="expression" dxfId="152" priority="30">
      <formula>#REF!=0</formula>
    </cfRule>
  </conditionalFormatting>
  <conditionalFormatting sqref="D6">
    <cfRule type="expression" dxfId="151" priority="24">
      <formula>#REF!=0</formula>
    </cfRule>
  </conditionalFormatting>
  <conditionalFormatting sqref="D6">
    <cfRule type="expression" dxfId="150" priority="23">
      <formula>#REF!=0</formula>
    </cfRule>
  </conditionalFormatting>
  <conditionalFormatting sqref="D9:D10">
    <cfRule type="expression" dxfId="149" priority="25">
      <formula>#REF!=0</formula>
    </cfRule>
  </conditionalFormatting>
  <conditionalFormatting sqref="D12">
    <cfRule type="expression" dxfId="148" priority="22">
      <formula>#REF!=0</formula>
    </cfRule>
  </conditionalFormatting>
  <conditionalFormatting sqref="L7:R11">
    <cfRule type="expression" dxfId="147" priority="16">
      <formula>#REF!=0</formula>
    </cfRule>
  </conditionalFormatting>
  <conditionalFormatting sqref="L19:R20">
    <cfRule type="expression" dxfId="146" priority="15">
      <formula>#REF!=0</formula>
    </cfRule>
  </conditionalFormatting>
  <conditionalFormatting sqref="L21:R21">
    <cfRule type="expression" dxfId="145" priority="14">
      <formula>#REF!=0</formula>
    </cfRule>
  </conditionalFormatting>
  <conditionalFormatting sqref="L22:R22 L18:R18 L6:R12">
    <cfRule type="expression" dxfId="144" priority="13">
      <formula>#REF!=0</formula>
    </cfRule>
  </conditionalFormatting>
  <conditionalFormatting sqref="L6:R6">
    <cfRule type="expression" dxfId="143" priority="12">
      <formula>#REF!=0</formula>
    </cfRule>
  </conditionalFormatting>
  <conditionalFormatting sqref="L12:R12">
    <cfRule type="expression" dxfId="142" priority="11">
      <formula>#REF!=0</formula>
    </cfRule>
  </conditionalFormatting>
  <conditionalFormatting sqref="L18:R18">
    <cfRule type="expression" dxfId="141" priority="10">
      <formula>#REF!=0</formula>
    </cfRule>
  </conditionalFormatting>
  <conditionalFormatting sqref="L6:R6">
    <cfRule type="expression" dxfId="140" priority="9">
      <formula>#REF!=0</formula>
    </cfRule>
  </conditionalFormatting>
  <conditionalFormatting sqref="L6:R6">
    <cfRule type="expression" dxfId="139" priority="8">
      <formula>#REF!=0</formula>
    </cfRule>
  </conditionalFormatting>
  <conditionalFormatting sqref="L7:R7">
    <cfRule type="expression" dxfId="138" priority="7">
      <formula>#REF!=0</formula>
    </cfRule>
  </conditionalFormatting>
  <conditionalFormatting sqref="L7:R7">
    <cfRule type="expression" dxfId="137" priority="6">
      <formula>#REF!=0</formula>
    </cfRule>
  </conditionalFormatting>
  <conditionalFormatting sqref="L8:R8">
    <cfRule type="expression" dxfId="136" priority="5">
      <formula>#REF!=0</formula>
    </cfRule>
  </conditionalFormatting>
  <conditionalFormatting sqref="L8:R8">
    <cfRule type="expression" dxfId="135" priority="4">
      <formula>#REF!=0</formula>
    </cfRule>
  </conditionalFormatting>
  <conditionalFormatting sqref="L19:R22">
    <cfRule type="expression" dxfId="134" priority="2">
      <formula>#REF!=0</formula>
    </cfRule>
  </conditionalFormatting>
  <conditionalFormatting sqref="L19:R22">
    <cfRule type="expression" dxfId="133" priority="1">
      <formula>#REF!=0</formula>
    </cfRule>
  </conditionalFormatting>
  <conditionalFormatting sqref="L19:R22">
    <cfRule type="expression" dxfId="132" priority="3">
      <formula>#REF!=0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F33"/>
  <sheetViews>
    <sheetView showGridLines="0" zoomScale="80" zoomScaleNormal="80" workbookViewId="0"/>
  </sheetViews>
  <sheetFormatPr defaultColWidth="9.33203125" defaultRowHeight="13.2"/>
  <cols>
    <col min="1" max="1" width="45.6640625" style="384" customWidth="1"/>
    <col min="2" max="5" width="12.6640625" style="384" customWidth="1"/>
    <col min="6" max="6" width="12.6640625" style="11" customWidth="1"/>
    <col min="7" max="15" width="12.6640625" style="384" customWidth="1"/>
    <col min="16" max="19" width="12.6640625" style="11" customWidth="1"/>
    <col min="20" max="37" width="9.6640625" style="384" customWidth="1"/>
    <col min="38" max="16384" width="9.33203125" style="384"/>
  </cols>
  <sheetData>
    <row r="1" spans="1:32" ht="39.75" customHeight="1">
      <c r="A1" s="156" t="s">
        <v>86</v>
      </c>
    </row>
    <row r="2" spans="1:32" ht="39.75" customHeight="1" thickBot="1">
      <c r="A2" s="385" t="s">
        <v>486</v>
      </c>
      <c r="B2" s="385"/>
      <c r="C2" s="385"/>
      <c r="D2" s="385"/>
      <c r="E2" s="385"/>
      <c r="F2" s="385"/>
      <c r="G2" s="385"/>
      <c r="H2" s="385"/>
      <c r="I2" s="385"/>
      <c r="J2" s="385"/>
      <c r="K2" s="385"/>
      <c r="L2" s="385"/>
      <c r="M2" s="385"/>
      <c r="N2" s="385"/>
      <c r="O2" s="385"/>
      <c r="P2" s="385"/>
      <c r="Q2" s="385"/>
      <c r="R2" s="385"/>
      <c r="S2" s="385"/>
      <c r="T2" s="444"/>
      <c r="U2" s="444"/>
      <c r="V2" s="444"/>
      <c r="W2" s="444"/>
      <c r="X2" s="444"/>
      <c r="Y2" s="444"/>
      <c r="Z2" s="444"/>
      <c r="AA2" s="509"/>
      <c r="AB2" s="509"/>
      <c r="AC2" s="509"/>
      <c r="AD2" s="509"/>
      <c r="AE2" s="509"/>
      <c r="AF2" s="509"/>
    </row>
    <row r="3" spans="1:32">
      <c r="D3" s="482"/>
      <c r="T3" s="444"/>
    </row>
    <row r="4" spans="1:32" s="388" customFormat="1">
      <c r="A4" s="386" t="s">
        <v>553</v>
      </c>
      <c r="T4" s="444"/>
      <c r="U4" s="444"/>
      <c r="V4" s="444"/>
      <c r="W4" s="444"/>
      <c r="X4" s="444"/>
      <c r="Y4" s="444"/>
      <c r="Z4" s="444"/>
      <c r="AA4" s="509"/>
      <c r="AB4" s="509"/>
      <c r="AC4" s="509"/>
      <c r="AD4" s="509"/>
      <c r="AE4" s="509"/>
      <c r="AF4" s="509"/>
    </row>
    <row r="5" spans="1:32" s="509" customFormat="1" ht="18.75" customHeight="1">
      <c r="A5" s="483"/>
      <c r="B5" s="484" t="s">
        <v>618</v>
      </c>
      <c r="C5" s="484" t="s">
        <v>107</v>
      </c>
      <c r="D5" s="484" t="s">
        <v>603</v>
      </c>
      <c r="E5" s="484" t="s">
        <v>604</v>
      </c>
      <c r="F5" s="485"/>
      <c r="G5" s="484" t="s">
        <v>605</v>
      </c>
      <c r="H5" s="484" t="s">
        <v>606</v>
      </c>
      <c r="I5" s="484" t="s">
        <v>607</v>
      </c>
      <c r="J5" s="484" t="s">
        <v>608</v>
      </c>
      <c r="K5" s="484" t="s">
        <v>609</v>
      </c>
      <c r="L5" s="484" t="s">
        <v>610</v>
      </c>
      <c r="M5" s="598" t="s">
        <v>611</v>
      </c>
      <c r="N5" s="598" t="s">
        <v>612</v>
      </c>
      <c r="O5" s="598" t="s">
        <v>613</v>
      </c>
      <c r="P5" s="598" t="s">
        <v>614</v>
      </c>
      <c r="Q5" s="598" t="s">
        <v>615</v>
      </c>
      <c r="R5" s="598" t="s">
        <v>616</v>
      </c>
      <c r="S5" s="598" t="s">
        <v>617</v>
      </c>
      <c r="T5" s="444"/>
      <c r="U5" s="384"/>
      <c r="V5" s="384"/>
      <c r="W5" s="384"/>
      <c r="X5" s="384"/>
      <c r="Y5" s="384"/>
      <c r="Z5" s="384"/>
      <c r="AA5" s="384"/>
      <c r="AB5" s="384"/>
      <c r="AC5" s="384"/>
      <c r="AD5" s="384"/>
      <c r="AE5" s="384"/>
      <c r="AF5" s="384"/>
    </row>
    <row r="6" spans="1:32" s="509" customFormat="1" ht="15" customHeight="1">
      <c r="A6" s="619" t="s">
        <v>601</v>
      </c>
      <c r="B6" s="498"/>
      <c r="C6" s="498"/>
      <c r="D6" s="498"/>
      <c r="E6" s="498"/>
      <c r="F6" s="491"/>
      <c r="G6" s="499"/>
      <c r="H6" s="498"/>
      <c r="I6" s="498"/>
      <c r="J6" s="498"/>
      <c r="K6" s="498"/>
      <c r="L6" s="498"/>
      <c r="M6" s="498"/>
      <c r="N6" s="498"/>
      <c r="O6" s="498"/>
      <c r="P6" s="498"/>
      <c r="Q6" s="498"/>
      <c r="R6" s="498"/>
      <c r="S6" s="498"/>
      <c r="T6" s="444"/>
      <c r="U6" s="444"/>
      <c r="V6" s="444"/>
      <c r="W6" s="444"/>
      <c r="X6" s="444"/>
      <c r="Y6" s="444"/>
      <c r="Z6" s="444"/>
    </row>
    <row r="7" spans="1:32" s="388" customFormat="1">
      <c r="A7" s="397" t="s">
        <v>71</v>
      </c>
      <c r="B7" s="510"/>
      <c r="C7" s="510">
        <v>717.37249999999995</v>
      </c>
      <c r="D7" s="510">
        <v>536.23815000000002</v>
      </c>
      <c r="E7" s="510">
        <f>469936.6/1000</f>
        <v>469.9366</v>
      </c>
      <c r="F7" s="511"/>
      <c r="G7" s="512">
        <f>164949.05/1000</f>
        <v>164.94905</v>
      </c>
      <c r="H7" s="513">
        <f>180357.6/1000</f>
        <v>180.35760000000002</v>
      </c>
      <c r="I7" s="513">
        <f>144557.7/1000</f>
        <v>144.55770000000001</v>
      </c>
      <c r="J7" s="513">
        <f>207607.5/1000</f>
        <v>207.60749999999999</v>
      </c>
      <c r="K7" s="513">
        <f>184849.7/1000</f>
        <v>184.84970000000001</v>
      </c>
      <c r="L7" s="513">
        <f>59123.3/1000</f>
        <v>59.1233</v>
      </c>
      <c r="M7" s="513">
        <f>109434.8/1000</f>
        <v>109.43480000000001</v>
      </c>
      <c r="N7" s="513">
        <f>251282.5/1000</f>
        <v>251.2825</v>
      </c>
      <c r="O7" s="513">
        <f>116397.55/1000</f>
        <v>116.39755000000001</v>
      </c>
      <c r="P7" s="513">
        <f>107598/1000</f>
        <v>107.598</v>
      </c>
      <c r="Q7" s="513">
        <f>96343.7/1000</f>
        <v>96.343699999999998</v>
      </c>
      <c r="R7" s="513">
        <f>126104.6/1000</f>
        <v>126.1046</v>
      </c>
      <c r="S7" s="513">
        <f>139890.3/1000</f>
        <v>139.8903</v>
      </c>
      <c r="T7" s="444"/>
      <c r="U7" s="384"/>
      <c r="V7" s="384"/>
      <c r="W7" s="384"/>
      <c r="X7" s="384"/>
      <c r="Y7" s="384"/>
      <c r="Z7" s="384"/>
      <c r="AA7" s="384"/>
      <c r="AB7" s="384"/>
      <c r="AC7" s="384"/>
      <c r="AD7" s="384"/>
      <c r="AE7" s="384"/>
      <c r="AF7" s="384"/>
    </row>
    <row r="8" spans="1:32" s="388" customFormat="1">
      <c r="A8" s="397" t="s">
        <v>619</v>
      </c>
      <c r="B8" s="510"/>
      <c r="C8" s="510">
        <v>226.29704999999996</v>
      </c>
      <c r="D8" s="510">
        <v>270.64779999999996</v>
      </c>
      <c r="E8" s="510">
        <f>346253.7/1000</f>
        <v>346.25370000000004</v>
      </c>
      <c r="F8" s="511"/>
      <c r="G8" s="512">
        <f>76341.3/1000</f>
        <v>76.341300000000004</v>
      </c>
      <c r="H8" s="513">
        <f>79025.95/1000</f>
        <v>79.025949999999995</v>
      </c>
      <c r="I8" s="513">
        <f>60877.6/1000</f>
        <v>60.877600000000001</v>
      </c>
      <c r="J8" s="513">
        <f>38393.9/1000</f>
        <v>38.393900000000002</v>
      </c>
      <c r="K8" s="513">
        <f>47999.6/1000</f>
        <v>47.999600000000001</v>
      </c>
      <c r="L8" s="513">
        <f>105978.2/1000</f>
        <v>105.9782</v>
      </c>
      <c r="M8" s="513">
        <f>66487/1000</f>
        <v>66.486999999999995</v>
      </c>
      <c r="N8" s="513">
        <f>40261.6/1000</f>
        <v>40.261600000000001</v>
      </c>
      <c r="O8" s="513">
        <f>57921/1000</f>
        <v>57.920999999999999</v>
      </c>
      <c r="P8" s="513">
        <f>134103.8/1000</f>
        <v>134.10379999999998</v>
      </c>
      <c r="Q8" s="513">
        <f>98049.9/1000</f>
        <v>98.049899999999994</v>
      </c>
      <c r="R8" s="513">
        <f>50533.5/1000</f>
        <v>50.533499999999997</v>
      </c>
      <c r="S8" s="513">
        <f>63566.5/1000</f>
        <v>63.566499999999998</v>
      </c>
      <c r="T8" s="444"/>
      <c r="U8" s="444"/>
      <c r="V8" s="444"/>
      <c r="W8" s="444"/>
      <c r="X8" s="444"/>
      <c r="Y8" s="444"/>
      <c r="Z8" s="444"/>
      <c r="AA8" s="509"/>
      <c r="AB8" s="509"/>
      <c r="AC8" s="509"/>
      <c r="AD8" s="509"/>
      <c r="AE8" s="509"/>
      <c r="AF8" s="509"/>
    </row>
    <row r="9" spans="1:32" s="411" customFormat="1" ht="13.8" thickBot="1">
      <c r="A9" s="493" t="s">
        <v>81</v>
      </c>
      <c r="B9" s="514"/>
      <c r="C9" s="515">
        <f>SUM(C7:C8)</f>
        <v>943.66954999999984</v>
      </c>
      <c r="D9" s="515">
        <f>SUM(D7:D8)</f>
        <v>806.88594999999998</v>
      </c>
      <c r="E9" s="515">
        <f>SUM(E7:E8)</f>
        <v>816.19029999999998</v>
      </c>
      <c r="F9" s="516"/>
      <c r="G9" s="517">
        <f t="shared" ref="G9:S9" si="0">SUM(G7:G8)</f>
        <v>241.29034999999999</v>
      </c>
      <c r="H9" s="518">
        <f t="shared" si="0"/>
        <v>259.38355000000001</v>
      </c>
      <c r="I9" s="518">
        <f t="shared" si="0"/>
        <v>205.43530000000001</v>
      </c>
      <c r="J9" s="518">
        <f t="shared" si="0"/>
        <v>246.00139999999999</v>
      </c>
      <c r="K9" s="518">
        <f t="shared" si="0"/>
        <v>232.84930000000003</v>
      </c>
      <c r="L9" s="518">
        <f t="shared" si="0"/>
        <v>165.10149999999999</v>
      </c>
      <c r="M9" s="518">
        <f t="shared" si="0"/>
        <v>175.92180000000002</v>
      </c>
      <c r="N9" s="518">
        <f t="shared" si="0"/>
        <v>291.54410000000001</v>
      </c>
      <c r="O9" s="518">
        <f t="shared" si="0"/>
        <v>174.31855000000002</v>
      </c>
      <c r="P9" s="518">
        <f t="shared" si="0"/>
        <v>241.70179999999999</v>
      </c>
      <c r="Q9" s="518">
        <f t="shared" si="0"/>
        <v>194.39359999999999</v>
      </c>
      <c r="R9" s="518">
        <f t="shared" si="0"/>
        <v>176.63810000000001</v>
      </c>
      <c r="S9" s="518">
        <f t="shared" si="0"/>
        <v>203.45679999999999</v>
      </c>
      <c r="T9" s="444"/>
      <c r="U9" s="384"/>
      <c r="V9" s="384"/>
      <c r="W9" s="384"/>
      <c r="X9" s="384"/>
      <c r="Y9" s="384"/>
      <c r="Z9" s="384"/>
      <c r="AA9" s="384"/>
      <c r="AB9" s="384"/>
      <c r="AC9" s="384"/>
      <c r="AD9" s="384"/>
      <c r="AE9" s="384"/>
      <c r="AF9" s="384"/>
    </row>
    <row r="10" spans="1:32" s="509" customFormat="1" ht="15" customHeight="1">
      <c r="A10" s="497" t="s">
        <v>538</v>
      </c>
      <c r="B10" s="519"/>
      <c r="C10" s="519"/>
      <c r="D10" s="519"/>
      <c r="E10" s="519"/>
      <c r="F10" s="520"/>
      <c r="G10" s="521"/>
      <c r="H10" s="519"/>
      <c r="I10" s="519"/>
      <c r="J10" s="519"/>
      <c r="K10" s="519"/>
      <c r="L10" s="519"/>
      <c r="M10" s="519"/>
      <c r="N10" s="519"/>
      <c r="O10" s="519"/>
      <c r="P10" s="519"/>
      <c r="Q10" s="519"/>
      <c r="R10" s="519"/>
      <c r="S10" s="519"/>
      <c r="T10" s="444"/>
      <c r="U10" s="444"/>
      <c r="V10" s="444"/>
      <c r="W10" s="444"/>
      <c r="X10" s="444"/>
      <c r="Y10" s="444"/>
      <c r="Z10" s="444"/>
    </row>
    <row r="11" spans="1:32">
      <c r="A11" s="397" t="s">
        <v>71</v>
      </c>
      <c r="B11" s="522"/>
      <c r="C11" s="522">
        <f>C7/(900*8670)*1000</f>
        <v>9.1935473535819545E-2</v>
      </c>
      <c r="D11" s="522">
        <f t="shared" ref="D11" si="1">D7/(900*8670)*1000</f>
        <v>6.8722049211841607E-2</v>
      </c>
      <c r="E11" s="522">
        <f>E7/(900*8670)*1000</f>
        <v>6.0225118544149685E-2</v>
      </c>
      <c r="F11" s="523"/>
      <c r="G11" s="524">
        <f>G7/(900*2160)*1000</f>
        <v>8.4850334362139915E-2</v>
      </c>
      <c r="H11" s="525">
        <f>H7/(900*2160)*1000</f>
        <v>9.277654320987655E-2</v>
      </c>
      <c r="I11" s="525">
        <f>I7/(900*2184)*1000</f>
        <v>7.3543803418803413E-2</v>
      </c>
      <c r="J11" s="525">
        <f>J7/(900*2208)*1000</f>
        <v>0.1044723731884058</v>
      </c>
      <c r="K11" s="525">
        <f>K7/(900*2208)*1000</f>
        <v>9.302017914653786E-2</v>
      </c>
      <c r="L11" s="525">
        <f>L7/(900*2160)*1000</f>
        <v>3.0413220164609053E-2</v>
      </c>
      <c r="M11" s="525">
        <f>M7/(900*2184)*1000</f>
        <v>5.5675010175010177E-2</v>
      </c>
      <c r="N11" s="525">
        <f>N7/(900*2208)*1000</f>
        <v>0.12645053341384863</v>
      </c>
      <c r="O11" s="525">
        <f>O7/(900*2208)*1000</f>
        <v>5.8573646336553951E-2</v>
      </c>
      <c r="P11" s="525">
        <f>P7/(900*2160)*1000</f>
        <v>5.5348765432098768E-2</v>
      </c>
      <c r="Q11" s="525">
        <f>Q7/(900*2184)*1000</f>
        <v>4.9014906389906389E-2</v>
      </c>
      <c r="R11" s="525">
        <f>R7/(900*2208)*1000</f>
        <v>6.3458433977455722E-2</v>
      </c>
      <c r="S11" s="525">
        <f>S7/(900*2208)*1000</f>
        <v>7.0395682367149756E-2</v>
      </c>
      <c r="T11" s="444"/>
    </row>
    <row r="12" spans="1:32">
      <c r="A12" s="397" t="s">
        <v>619</v>
      </c>
      <c r="B12" s="522"/>
      <c r="C12" s="522">
        <f>C8/(100.8*8670)*1000</f>
        <v>0.25894007112648976</v>
      </c>
      <c r="D12" s="522">
        <f>D8/(100.8*8670)*1000</f>
        <v>0.30968835246516907</v>
      </c>
      <c r="E12" s="522">
        <f>E8/(100.8*8670)*1000</f>
        <v>0.39620029384302746</v>
      </c>
      <c r="F12" s="523"/>
      <c r="G12" s="524">
        <f>G8/(100.8*2160)*1000</f>
        <v>0.35062692901234571</v>
      </c>
      <c r="H12" s="525">
        <f>H8/(100.8*2160)*1000</f>
        <v>0.36295722185479129</v>
      </c>
      <c r="I12" s="525">
        <f>I8/(100.8*2184)*1000</f>
        <v>0.27653133903133909</v>
      </c>
      <c r="J12" s="525">
        <f>J8/(100.8*2208)*1000</f>
        <v>0.17250537367724869</v>
      </c>
      <c r="K12" s="525">
        <f>K8/(100.8*2208)*1000</f>
        <v>0.21566417931907061</v>
      </c>
      <c r="L12" s="525">
        <f>L8/(100.8*2160)*1000</f>
        <v>0.48674584803057025</v>
      </c>
      <c r="M12" s="525">
        <f>M8/(100.8*2184)*1000</f>
        <v>0.30201156317227745</v>
      </c>
      <c r="N12" s="525">
        <f>N8/(100.8*2208)*1000</f>
        <v>0.18089702668507018</v>
      </c>
      <c r="O12" s="525">
        <f>O8/(100.8*2208)*1000</f>
        <v>0.26024143806073152</v>
      </c>
      <c r="P12" s="525">
        <f>P8/(100.8*2160)*1000</f>
        <v>0.61592353762492646</v>
      </c>
      <c r="Q12" s="525">
        <f>Q8/(100.8*2184)*1000</f>
        <v>0.44538336167800452</v>
      </c>
      <c r="R12" s="525">
        <f>R8/(100.8*2208)*1000</f>
        <v>0.22704909635955831</v>
      </c>
      <c r="S12" s="525">
        <f>S8/(100.8*2208)*1000</f>
        <v>0.28560690203013572</v>
      </c>
      <c r="T12" s="444"/>
    </row>
    <row r="13" spans="1:32" ht="13.8" thickBot="1">
      <c r="A13" s="493" t="s">
        <v>81</v>
      </c>
      <c r="B13" s="526"/>
      <c r="C13" s="526">
        <f>C9/(1000.8*24*365)*1000</f>
        <v>0.10763872349608898</v>
      </c>
      <c r="D13" s="526">
        <f t="shared" ref="D13" si="2">D9/(1000.8*24*365)*1000</f>
        <v>9.2036638953677266E-2</v>
      </c>
      <c r="E13" s="526">
        <f>E9/(1000.8*24*365)*1000</f>
        <v>9.3097930331533879E-2</v>
      </c>
      <c r="F13" s="527"/>
      <c r="G13" s="528">
        <f>G9/(1000.8*2160)*1000</f>
        <v>0.11161920001036207</v>
      </c>
      <c r="H13" s="526">
        <f>H9/(1000.8*2160)*1000</f>
        <v>0.1199889856633212</v>
      </c>
      <c r="I13" s="526">
        <f>I9/(1000.8*2184)*1000</f>
        <v>9.3988591178339395E-2</v>
      </c>
      <c r="J13" s="526">
        <f>J9/(1000.8*2208)*1000</f>
        <v>0.11132461784195832</v>
      </c>
      <c r="K13" s="526">
        <f>K9/(1000.8*2208)*1000</f>
        <v>0.10537281225744044</v>
      </c>
      <c r="L13" s="526">
        <f>L9/(1000.8*2160)*1000</f>
        <v>7.6374779805784998E-2</v>
      </c>
      <c r="M13" s="526">
        <f>M9/(1000.8*2184)*1000</f>
        <v>8.0485886016461575E-2</v>
      </c>
      <c r="N13" s="526">
        <f>N9/(1000.8*2208)*1000</f>
        <v>0.13193435288001484</v>
      </c>
      <c r="O13" s="526">
        <f>O9/(1000.8*2208)*1000</f>
        <v>7.8885510251219329E-2</v>
      </c>
      <c r="P13" s="526">
        <f>P9/(1000.8*2160)*1000</f>
        <v>0.11180953385439796</v>
      </c>
      <c r="Q13" s="526">
        <f>Q9/(1000.8*2184)*1000</f>
        <v>8.8936909080793977E-2</v>
      </c>
      <c r="R13" s="526">
        <f>R9/(1000.8*2208)*1000</f>
        <v>7.9935191339681896E-2</v>
      </c>
      <c r="S13" s="526">
        <f>S9/(1000.8*2208)*1000</f>
        <v>9.2071632549033236E-2</v>
      </c>
      <c r="T13" s="444"/>
    </row>
    <row r="14" spans="1:32" s="509" customFormat="1" ht="15" customHeight="1">
      <c r="A14" s="497" t="s">
        <v>563</v>
      </c>
      <c r="B14" s="519"/>
      <c r="C14" s="519"/>
      <c r="D14" s="519"/>
      <c r="E14" s="519"/>
      <c r="F14" s="520"/>
      <c r="G14" s="521"/>
      <c r="H14" s="519"/>
      <c r="I14" s="519"/>
      <c r="J14" s="519"/>
      <c r="K14" s="519"/>
      <c r="L14" s="519"/>
      <c r="M14" s="519"/>
      <c r="N14" s="519"/>
      <c r="O14" s="519"/>
      <c r="P14" s="519"/>
      <c r="Q14" s="519"/>
      <c r="R14" s="519"/>
      <c r="S14" s="519"/>
      <c r="T14" s="444"/>
      <c r="U14" s="444"/>
      <c r="V14" s="444"/>
      <c r="W14" s="444"/>
      <c r="X14" s="444"/>
      <c r="Y14" s="444"/>
      <c r="Z14" s="444"/>
    </row>
    <row r="15" spans="1:32">
      <c r="A15" s="397" t="s">
        <v>71</v>
      </c>
      <c r="B15" s="529"/>
      <c r="C15" s="530">
        <f>SUM(H15:K15)</f>
        <v>2.71</v>
      </c>
      <c r="D15" s="530">
        <f>SUM(L15:O15)</f>
        <v>2.4430000000000001</v>
      </c>
      <c r="E15" s="530">
        <f>SUM(P15:S15)</f>
        <v>2.1990000000000003</v>
      </c>
      <c r="F15" s="531"/>
      <c r="G15" s="532">
        <v>0.53200000000000003</v>
      </c>
      <c r="H15" s="529">
        <v>0.58100000000000007</v>
      </c>
      <c r="I15" s="529">
        <v>0.7619999999999999</v>
      </c>
      <c r="J15" s="529">
        <v>0.59400000000000031</v>
      </c>
      <c r="K15" s="529">
        <v>0.77299999999999969</v>
      </c>
      <c r="L15" s="529">
        <v>0.51900000000000002</v>
      </c>
      <c r="M15" s="529">
        <v>0.61199999999999999</v>
      </c>
      <c r="N15" s="529">
        <v>0.54499999999999993</v>
      </c>
      <c r="O15" s="529">
        <v>0.76700000000000013</v>
      </c>
      <c r="P15" s="529">
        <v>0.503</v>
      </c>
      <c r="Q15" s="529">
        <v>0.56200000000000017</v>
      </c>
      <c r="R15" s="529">
        <v>0.53099999999999969</v>
      </c>
      <c r="S15" s="529">
        <v>0.60300000000000042</v>
      </c>
      <c r="T15" s="444"/>
    </row>
    <row r="16" spans="1:32">
      <c r="A16" s="397" t="s">
        <v>619</v>
      </c>
      <c r="B16" s="529"/>
      <c r="C16" s="530">
        <f>SUM(H16:K16)</f>
        <v>1.0389999999999999</v>
      </c>
      <c r="D16" s="530">
        <f>SUM(L16:O16)</f>
        <v>1.024</v>
      </c>
      <c r="E16" s="530">
        <f>SUM(P16:S16)</f>
        <v>1.012</v>
      </c>
      <c r="F16" s="531"/>
      <c r="G16" s="532">
        <v>0.22500000000000001</v>
      </c>
      <c r="H16" s="529">
        <v>0.251</v>
      </c>
      <c r="I16" s="529">
        <v>0.22800000000000004</v>
      </c>
      <c r="J16" s="529">
        <v>0.30199999999999999</v>
      </c>
      <c r="K16" s="529">
        <v>0.2579999999999999</v>
      </c>
      <c r="L16" s="529">
        <v>0.23800000000000002</v>
      </c>
      <c r="M16" s="529">
        <v>0.19499999999999998</v>
      </c>
      <c r="N16" s="529">
        <v>0.29899999999999999</v>
      </c>
      <c r="O16" s="529">
        <v>0.29200000000000004</v>
      </c>
      <c r="P16" s="529">
        <v>0.21</v>
      </c>
      <c r="Q16" s="529">
        <v>0.23500000000000001</v>
      </c>
      <c r="R16" s="529">
        <v>0.27099999999999996</v>
      </c>
      <c r="S16" s="529">
        <v>0.29600000000000004</v>
      </c>
      <c r="T16" s="444"/>
    </row>
    <row r="17" spans="1:26" s="411" customFormat="1" ht="13.8" thickBot="1">
      <c r="A17" s="493" t="s">
        <v>81</v>
      </c>
      <c r="B17" s="533"/>
      <c r="C17" s="534">
        <f>SUM(C15:C16)</f>
        <v>3.7489999999999997</v>
      </c>
      <c r="D17" s="534">
        <f>SUM(D15:D16)</f>
        <v>3.4670000000000001</v>
      </c>
      <c r="E17" s="534">
        <f t="shared" ref="E17:S17" si="3">SUM(E15:E16)</f>
        <v>3.2110000000000003</v>
      </c>
      <c r="F17" s="535"/>
      <c r="G17" s="536">
        <f t="shared" ref="G17:O17" si="4">SUM(G15:G16)</f>
        <v>0.75700000000000001</v>
      </c>
      <c r="H17" s="533">
        <f t="shared" si="4"/>
        <v>0.83200000000000007</v>
      </c>
      <c r="I17" s="533">
        <f t="shared" si="4"/>
        <v>0.99</v>
      </c>
      <c r="J17" s="533">
        <f t="shared" si="4"/>
        <v>0.89600000000000035</v>
      </c>
      <c r="K17" s="533">
        <f t="shared" si="4"/>
        <v>1.0309999999999997</v>
      </c>
      <c r="L17" s="533">
        <f t="shared" si="4"/>
        <v>0.75700000000000001</v>
      </c>
      <c r="M17" s="533">
        <f t="shared" si="4"/>
        <v>0.80699999999999994</v>
      </c>
      <c r="N17" s="533">
        <f t="shared" si="4"/>
        <v>0.84399999999999986</v>
      </c>
      <c r="O17" s="533">
        <f t="shared" si="4"/>
        <v>1.0590000000000002</v>
      </c>
      <c r="P17" s="533">
        <f t="shared" si="3"/>
        <v>0.71299999999999997</v>
      </c>
      <c r="Q17" s="533">
        <f t="shared" si="3"/>
        <v>0.79700000000000015</v>
      </c>
      <c r="R17" s="533">
        <f t="shared" si="3"/>
        <v>0.8019999999999996</v>
      </c>
      <c r="S17" s="533">
        <f t="shared" si="3"/>
        <v>0.89900000000000047</v>
      </c>
      <c r="T17" s="444"/>
      <c r="U17" s="439"/>
      <c r="V17" s="439"/>
      <c r="W17" s="439"/>
      <c r="X17" s="439"/>
      <c r="Y17" s="439"/>
      <c r="Z17" s="439"/>
    </row>
    <row r="18" spans="1:26">
      <c r="A18" s="497" t="s">
        <v>600</v>
      </c>
      <c r="B18" s="519"/>
      <c r="C18" s="519"/>
      <c r="D18" s="519"/>
      <c r="E18" s="519"/>
      <c r="F18" s="520"/>
      <c r="G18" s="521"/>
      <c r="H18" s="519"/>
      <c r="I18" s="519"/>
      <c r="J18" s="519"/>
      <c r="K18" s="519"/>
      <c r="L18" s="519"/>
      <c r="M18" s="519"/>
      <c r="N18" s="519"/>
      <c r="O18" s="519"/>
      <c r="P18" s="519"/>
      <c r="Q18" s="519"/>
      <c r="R18" s="519"/>
      <c r="S18" s="519"/>
      <c r="T18" s="444"/>
    </row>
    <row r="19" spans="1:26">
      <c r="A19" s="397" t="s">
        <v>71</v>
      </c>
      <c r="B19" s="530"/>
      <c r="C19" s="530">
        <f>SUM(H19:K19)</f>
        <v>28.865000000000002</v>
      </c>
      <c r="D19" s="530">
        <f>SUM(L19:O19)</f>
        <v>16.013999999999999</v>
      </c>
      <c r="E19" s="530">
        <f>SUM(P19:S19)</f>
        <v>11.67</v>
      </c>
      <c r="F19" s="537"/>
      <c r="G19" s="532">
        <v>6.2140000000000004</v>
      </c>
      <c r="H19" s="529">
        <v>5.7149999999999999</v>
      </c>
      <c r="I19" s="529">
        <v>6.51</v>
      </c>
      <c r="J19" s="529">
        <v>6.552999999999999</v>
      </c>
      <c r="K19" s="529">
        <v>10.087000000000003</v>
      </c>
      <c r="L19" s="529">
        <v>1.288</v>
      </c>
      <c r="M19" s="529">
        <v>5.3390000000000004</v>
      </c>
      <c r="N19" s="529">
        <v>6.7939999999999987</v>
      </c>
      <c r="O19" s="529">
        <v>2.593</v>
      </c>
      <c r="P19" s="529">
        <v>3.0619999999999998</v>
      </c>
      <c r="Q19" s="529">
        <v>2.8890000000000007</v>
      </c>
      <c r="R19" s="529">
        <v>2.9289999999999985</v>
      </c>
      <c r="S19" s="529">
        <v>2.7900000000000009</v>
      </c>
      <c r="T19" s="444"/>
    </row>
    <row r="20" spans="1:26" ht="13.8" thickBot="1">
      <c r="A20" s="618" t="s">
        <v>619</v>
      </c>
      <c r="B20" s="538"/>
      <c r="C20" s="534">
        <f>SUM(H20:K20)</f>
        <v>9.2010000000000005</v>
      </c>
      <c r="D20" s="534">
        <f>SUM(L20:O20)</f>
        <v>13.897</v>
      </c>
      <c r="E20" s="534">
        <f>SUM(P20:S20)</f>
        <v>18.167999999999999</v>
      </c>
      <c r="F20" s="537"/>
      <c r="G20" s="539">
        <v>4.8179999999999996</v>
      </c>
      <c r="H20" s="538">
        <v>3.2749999999999999</v>
      </c>
      <c r="I20" s="538">
        <v>2.0880000000000005</v>
      </c>
      <c r="J20" s="538">
        <v>1.4849999999999994</v>
      </c>
      <c r="K20" s="538">
        <v>2.3530000000000006</v>
      </c>
      <c r="L20" s="538">
        <v>5.5179999999999998</v>
      </c>
      <c r="M20" s="538">
        <v>3.471000000000001</v>
      </c>
      <c r="N20" s="538">
        <v>1.9699999999999989</v>
      </c>
      <c r="O20" s="538">
        <v>2.9380000000000006</v>
      </c>
      <c r="P20" s="538">
        <v>6.1859999999999999</v>
      </c>
      <c r="Q20" s="538">
        <v>4.6059999999999999</v>
      </c>
      <c r="R20" s="538">
        <v>3.2349999999999994</v>
      </c>
      <c r="S20" s="538">
        <v>4.141</v>
      </c>
      <c r="T20" s="444"/>
    </row>
    <row r="21" spans="1:26">
      <c r="A21" s="497" t="s">
        <v>567</v>
      </c>
      <c r="B21" s="540"/>
      <c r="C21" s="540"/>
      <c r="D21" s="540"/>
      <c r="E21" s="540"/>
      <c r="F21" s="541"/>
      <c r="G21" s="542"/>
      <c r="H21" s="540"/>
      <c r="I21" s="540"/>
      <c r="J21" s="540"/>
      <c r="K21" s="540"/>
      <c r="L21" s="540"/>
      <c r="M21" s="540"/>
      <c r="N21" s="540"/>
      <c r="O21" s="540"/>
      <c r="P21" s="540"/>
      <c r="Q21" s="540"/>
      <c r="R21" s="540"/>
      <c r="S21" s="540"/>
      <c r="T21" s="444"/>
    </row>
    <row r="22" spans="1:26" ht="13.8" thickBot="1">
      <c r="A22" s="543" t="s">
        <v>71</v>
      </c>
      <c r="B22" s="544" t="s">
        <v>649</v>
      </c>
      <c r="C22" s="616">
        <v>35.6</v>
      </c>
      <c r="D22" s="617">
        <v>37.299999999999997</v>
      </c>
      <c r="E22" s="538">
        <v>37.1</v>
      </c>
      <c r="F22" s="541"/>
      <c r="G22" s="539"/>
      <c r="H22" s="538"/>
      <c r="I22" s="538"/>
      <c r="J22" s="538"/>
      <c r="K22" s="538"/>
      <c r="L22" s="538"/>
      <c r="M22" s="538"/>
      <c r="N22" s="538"/>
      <c r="O22" s="538"/>
      <c r="P22" s="538"/>
      <c r="Q22" s="538"/>
      <c r="R22" s="538"/>
      <c r="S22" s="538"/>
      <c r="T22" s="444"/>
    </row>
    <row r="23" spans="1:26">
      <c r="A23" s="497" t="s">
        <v>504</v>
      </c>
      <c r="B23" s="540"/>
      <c r="C23" s="540"/>
      <c r="D23" s="540"/>
      <c r="E23" s="540"/>
      <c r="F23" s="541"/>
      <c r="G23" s="542"/>
      <c r="H23" s="540"/>
      <c r="I23" s="540"/>
      <c r="J23" s="540"/>
      <c r="K23" s="540"/>
      <c r="L23" s="540"/>
      <c r="M23" s="540"/>
      <c r="N23" s="540"/>
      <c r="O23" s="540"/>
      <c r="P23" s="540"/>
      <c r="Q23" s="540"/>
      <c r="R23" s="540"/>
      <c r="S23" s="540"/>
      <c r="T23" s="444"/>
    </row>
    <row r="24" spans="1:26" ht="13.8" thickBot="1">
      <c r="A24" s="543" t="s">
        <v>71</v>
      </c>
      <c r="B24" s="545" t="s">
        <v>505</v>
      </c>
      <c r="C24" s="545" t="s">
        <v>515</v>
      </c>
      <c r="D24" s="545" t="s">
        <v>516</v>
      </c>
      <c r="E24" s="546">
        <v>4.9500000000000002E-2</v>
      </c>
      <c r="F24" s="541"/>
      <c r="G24" s="539"/>
      <c r="H24" s="538"/>
      <c r="I24" s="538"/>
      <c r="J24" s="538"/>
      <c r="K24" s="538"/>
      <c r="L24" s="538"/>
      <c r="M24" s="538"/>
      <c r="N24" s="538"/>
      <c r="O24" s="538"/>
      <c r="P24" s="538"/>
      <c r="Q24" s="538"/>
      <c r="R24" s="538"/>
      <c r="S24" s="538"/>
      <c r="T24" s="444"/>
    </row>
    <row r="25" spans="1:26">
      <c r="A25" s="497" t="s">
        <v>620</v>
      </c>
      <c r="B25" s="540"/>
      <c r="C25" s="540"/>
      <c r="D25" s="540"/>
      <c r="E25" s="540"/>
      <c r="F25" s="541"/>
      <c r="G25" s="542"/>
      <c r="H25" s="540"/>
      <c r="I25" s="540"/>
      <c r="J25" s="540"/>
      <c r="K25" s="540"/>
      <c r="L25" s="540"/>
      <c r="M25" s="540"/>
      <c r="N25" s="540"/>
      <c r="O25" s="540"/>
      <c r="P25" s="540"/>
      <c r="Q25" s="540"/>
      <c r="R25" s="540"/>
      <c r="S25" s="540"/>
      <c r="T25" s="444"/>
    </row>
    <row r="26" spans="1:26" ht="13.8" thickBot="1">
      <c r="A26" s="543" t="s">
        <v>71</v>
      </c>
      <c r="B26" s="538">
        <v>1.3</v>
      </c>
      <c r="C26" s="538">
        <v>1.7</v>
      </c>
      <c r="D26" s="538">
        <v>1.6</v>
      </c>
      <c r="E26" s="538">
        <v>1.6</v>
      </c>
      <c r="F26" s="541"/>
      <c r="G26" s="539"/>
      <c r="H26" s="538"/>
      <c r="I26" s="538"/>
      <c r="J26" s="538"/>
      <c r="K26" s="538"/>
      <c r="L26" s="538"/>
      <c r="M26" s="538"/>
      <c r="N26" s="538"/>
      <c r="O26" s="538"/>
      <c r="P26" s="538"/>
      <c r="Q26" s="538"/>
      <c r="R26" s="538"/>
      <c r="S26" s="538"/>
      <c r="T26" s="444"/>
    </row>
    <row r="27" spans="1:26">
      <c r="A27" s="463" t="s">
        <v>517</v>
      </c>
      <c r="T27" s="444"/>
    </row>
    <row r="28" spans="1:26">
      <c r="A28" s="463" t="s">
        <v>518</v>
      </c>
    </row>
    <row r="29" spans="1:26">
      <c r="A29" s="547"/>
      <c r="P29" s="384"/>
      <c r="Q29" s="384"/>
      <c r="R29" s="384"/>
      <c r="S29" s="384"/>
    </row>
    <row r="30" spans="1:26" ht="13.8">
      <c r="A30" s="548"/>
    </row>
    <row r="31" spans="1:26" ht="13.8">
      <c r="A31" s="548"/>
      <c r="C31" s="549"/>
      <c r="D31" s="549"/>
      <c r="E31" s="549"/>
    </row>
    <row r="32" spans="1:26">
      <c r="A32" s="547"/>
      <c r="B32" s="547"/>
      <c r="C32" s="547"/>
      <c r="D32" s="547"/>
      <c r="E32" s="547"/>
      <c r="F32" s="547"/>
      <c r="P32" s="547"/>
    </row>
    <row r="33" spans="1:1">
      <c r="A33" s="550"/>
    </row>
  </sheetData>
  <conditionalFormatting sqref="F9:S9 G21:O21 G25:O25 G23:O23 G7:O8">
    <cfRule type="expression" dxfId="131" priority="59">
      <formula>#REF!=0</formula>
    </cfRule>
  </conditionalFormatting>
  <conditionalFormatting sqref="C6:D6 F6:O6 C22:E22">
    <cfRule type="expression" dxfId="130" priority="58">
      <formula>#REF!=0</formula>
    </cfRule>
  </conditionalFormatting>
  <conditionalFormatting sqref="F6:O6 C6:D6">
    <cfRule type="expression" dxfId="129" priority="57">
      <formula>#REF!=0</formula>
    </cfRule>
  </conditionalFormatting>
  <conditionalFormatting sqref="L6 C10:D10 F14:O14 C14:D14 F18:O18 C18:D18 C13:E13 F10:O10 F17 G22:O22 G24:O24 G26:O26 G13:O13 G15:O17 G19:O20 P17:S17 B26:E26">
    <cfRule type="expression" dxfId="128" priority="56">
      <formula>#REF!=0</formula>
    </cfRule>
  </conditionalFormatting>
  <conditionalFormatting sqref="H6">
    <cfRule type="expression" dxfId="127" priority="55">
      <formula>#REF!=0</formula>
    </cfRule>
  </conditionalFormatting>
  <conditionalFormatting sqref="M10:O10">
    <cfRule type="expression" dxfId="126" priority="54">
      <formula>#REF!=0</formula>
    </cfRule>
  </conditionalFormatting>
  <conditionalFormatting sqref="L10">
    <cfRule type="expression" dxfId="125" priority="53">
      <formula>#REF!=0</formula>
    </cfRule>
  </conditionalFormatting>
  <conditionalFormatting sqref="H10">
    <cfRule type="expression" dxfId="124" priority="52">
      <formula>#REF!=0</formula>
    </cfRule>
  </conditionalFormatting>
  <conditionalFormatting sqref="M14:O14">
    <cfRule type="expression" dxfId="123" priority="51">
      <formula>#REF!=0</formula>
    </cfRule>
  </conditionalFormatting>
  <conditionalFormatting sqref="L14">
    <cfRule type="expression" dxfId="122" priority="50">
      <formula>#REF!=0</formula>
    </cfRule>
  </conditionalFormatting>
  <conditionalFormatting sqref="H14">
    <cfRule type="expression" dxfId="121" priority="49">
      <formula>#REF!=0</formula>
    </cfRule>
  </conditionalFormatting>
  <conditionalFormatting sqref="M18:O18">
    <cfRule type="expression" dxfId="120" priority="48">
      <formula>#REF!=0</formula>
    </cfRule>
  </conditionalFormatting>
  <conditionalFormatting sqref="L18">
    <cfRule type="expression" dxfId="119" priority="47">
      <formula>#REF!=0</formula>
    </cfRule>
  </conditionalFormatting>
  <conditionalFormatting sqref="H18">
    <cfRule type="expression" dxfId="118" priority="46">
      <formula>#REF!=0</formula>
    </cfRule>
  </conditionalFormatting>
  <conditionalFormatting sqref="F13:O13">
    <cfRule type="expression" dxfId="117" priority="45">
      <formula>#REF!=0</formula>
    </cfRule>
  </conditionalFormatting>
  <conditionalFormatting sqref="C25:D25">
    <cfRule type="expression" dxfId="116" priority="39">
      <formula>#REF!=0</formula>
    </cfRule>
  </conditionalFormatting>
  <conditionalFormatting sqref="D21">
    <cfRule type="expression" dxfId="115" priority="44">
      <formula>#REF!=0</formula>
    </cfRule>
  </conditionalFormatting>
  <conditionalFormatting sqref="C21:D21">
    <cfRule type="expression" dxfId="114" priority="43">
      <formula>#REF!=0</formula>
    </cfRule>
  </conditionalFormatting>
  <conditionalFormatting sqref="D23">
    <cfRule type="expression" dxfId="113" priority="42">
      <formula>#REF!=0</formula>
    </cfRule>
  </conditionalFormatting>
  <conditionalFormatting sqref="C23:D23">
    <cfRule type="expression" dxfId="112" priority="41">
      <formula>#REF!=0</formula>
    </cfRule>
  </conditionalFormatting>
  <conditionalFormatting sqref="D25">
    <cfRule type="expression" dxfId="111" priority="40">
      <formula>#REF!=0</formula>
    </cfRule>
  </conditionalFormatting>
  <conditionalFormatting sqref="B9:D9">
    <cfRule type="expression" dxfId="110" priority="38">
      <formula>#REF!=0</formula>
    </cfRule>
  </conditionalFormatting>
  <conditionalFormatting sqref="B6:D6">
    <cfRule type="expression" dxfId="109" priority="37">
      <formula>#REF!=0</formula>
    </cfRule>
  </conditionalFormatting>
  <conditionalFormatting sqref="B6:D6">
    <cfRule type="expression" dxfId="108" priority="36">
      <formula>#REF!=0</formula>
    </cfRule>
  </conditionalFormatting>
  <conditionalFormatting sqref="B10:D10">
    <cfRule type="expression" dxfId="107" priority="35">
      <formula>#REF!=0</formula>
    </cfRule>
  </conditionalFormatting>
  <conditionalFormatting sqref="B10:D10">
    <cfRule type="expression" dxfId="106" priority="34">
      <formula>#REF!=0</formula>
    </cfRule>
  </conditionalFormatting>
  <conditionalFormatting sqref="B14:D14">
    <cfRule type="expression" dxfId="105" priority="33">
      <formula>#REF!=0</formula>
    </cfRule>
  </conditionalFormatting>
  <conditionalFormatting sqref="B14:D14">
    <cfRule type="expression" dxfId="104" priority="32">
      <formula>#REF!=0</formula>
    </cfRule>
  </conditionalFormatting>
  <conditionalFormatting sqref="B18:D18">
    <cfRule type="expression" dxfId="103" priority="31">
      <formula>#REF!=0</formula>
    </cfRule>
  </conditionalFormatting>
  <conditionalFormatting sqref="B18:D18">
    <cfRule type="expression" dxfId="102" priority="30">
      <formula>#REF!=0</formula>
    </cfRule>
  </conditionalFormatting>
  <conditionalFormatting sqref="B13:D13">
    <cfRule type="expression" dxfId="101" priority="29">
      <formula>#REF!=0</formula>
    </cfRule>
  </conditionalFormatting>
  <conditionalFormatting sqref="B17:D17">
    <cfRule type="expression" dxfId="100" priority="28">
      <formula>#REF!=0</formula>
    </cfRule>
  </conditionalFormatting>
  <conditionalFormatting sqref="B21:D21">
    <cfRule type="expression" dxfId="99" priority="27">
      <formula>#REF!=0</formula>
    </cfRule>
  </conditionalFormatting>
  <conditionalFormatting sqref="B23:D23">
    <cfRule type="expression" dxfId="98" priority="26">
      <formula>#REF!=0</formula>
    </cfRule>
  </conditionalFormatting>
  <conditionalFormatting sqref="B25:D25">
    <cfRule type="expression" dxfId="97" priority="25">
      <formula>#REF!=0</formula>
    </cfRule>
  </conditionalFormatting>
  <conditionalFormatting sqref="P21:S21 P25:S25 P23:S23 P7:S8">
    <cfRule type="expression" dxfId="96" priority="24">
      <formula>#REF!=0</formula>
    </cfRule>
  </conditionalFormatting>
  <conditionalFormatting sqref="P13:S13">
    <cfRule type="expression" dxfId="95" priority="19">
      <formula>#REF!=0</formula>
    </cfRule>
  </conditionalFormatting>
  <conditionalFormatting sqref="P6:S6">
    <cfRule type="expression" dxfId="94" priority="23">
      <formula>#REF!=0</formula>
    </cfRule>
  </conditionalFormatting>
  <conditionalFormatting sqref="P10:S10">
    <cfRule type="expression" dxfId="93" priority="22">
      <formula>#REF!=0</formula>
    </cfRule>
  </conditionalFormatting>
  <conditionalFormatting sqref="P14:S14">
    <cfRule type="expression" dxfId="92" priority="21">
      <formula>#REF!=0</formula>
    </cfRule>
  </conditionalFormatting>
  <conditionalFormatting sqref="P18:S18">
    <cfRule type="expression" dxfId="91" priority="20">
      <formula>#REF!=0</formula>
    </cfRule>
  </conditionalFormatting>
  <conditionalFormatting sqref="E23">
    <cfRule type="expression" dxfId="90" priority="8">
      <formula>#REF!=0</formula>
    </cfRule>
  </conditionalFormatting>
  <conditionalFormatting sqref="P22:S22 P24:S24 P26:S26">
    <cfRule type="expression" dxfId="89" priority="18">
      <formula>#REF!=0</formula>
    </cfRule>
  </conditionalFormatting>
  <conditionalFormatting sqref="E6">
    <cfRule type="expression" dxfId="88" priority="17">
      <formula>#REF!=0</formula>
    </cfRule>
  </conditionalFormatting>
  <conditionalFormatting sqref="E6">
    <cfRule type="expression" dxfId="87" priority="16">
      <formula>#REF!=0</formula>
    </cfRule>
  </conditionalFormatting>
  <conditionalFormatting sqref="E10">
    <cfRule type="expression" dxfId="86" priority="15">
      <formula>#REF!=0</formula>
    </cfRule>
  </conditionalFormatting>
  <conditionalFormatting sqref="E10">
    <cfRule type="expression" dxfId="85" priority="14">
      <formula>#REF!=0</formula>
    </cfRule>
  </conditionalFormatting>
  <conditionalFormatting sqref="E14">
    <cfRule type="expression" dxfId="84" priority="13">
      <formula>#REF!=0</formula>
    </cfRule>
  </conditionalFormatting>
  <conditionalFormatting sqref="E14">
    <cfRule type="expression" dxfId="83" priority="12">
      <formula>#REF!=0</formula>
    </cfRule>
  </conditionalFormatting>
  <conditionalFormatting sqref="E18">
    <cfRule type="expression" dxfId="82" priority="11">
      <formula>#REF!=0</formula>
    </cfRule>
  </conditionalFormatting>
  <conditionalFormatting sqref="E18">
    <cfRule type="expression" dxfId="81" priority="10">
      <formula>#REF!=0</formula>
    </cfRule>
  </conditionalFormatting>
  <conditionalFormatting sqref="P15:S16">
    <cfRule type="expression" dxfId="80" priority="6">
      <formula>#REF!=0</formula>
    </cfRule>
  </conditionalFormatting>
  <conditionalFormatting sqref="E21">
    <cfRule type="expression" dxfId="79" priority="9">
      <formula>#REF!=0</formula>
    </cfRule>
  </conditionalFormatting>
  <conditionalFormatting sqref="E25">
    <cfRule type="expression" dxfId="78" priority="7">
      <formula>#REF!=0</formula>
    </cfRule>
  </conditionalFormatting>
  <conditionalFormatting sqref="P19:S19">
    <cfRule type="expression" dxfId="77" priority="5">
      <formula>#REF!=0</formula>
    </cfRule>
  </conditionalFormatting>
  <conditionalFormatting sqref="P20:S20">
    <cfRule type="expression" dxfId="76" priority="4">
      <formula>#REF!=0</formula>
    </cfRule>
  </conditionalFormatting>
  <conditionalFormatting sqref="B20:D20">
    <cfRule type="expression" dxfId="75" priority="3">
      <formula>#REF!=0</formula>
    </cfRule>
  </conditionalFormatting>
  <conditionalFormatting sqref="D7:D8 D22">
    <cfRule type="expression" dxfId="74" priority="60">
      <formula>G7=0</formula>
    </cfRule>
  </conditionalFormatting>
  <conditionalFormatting sqref="D7:D9 D15:D17 D19:D20 F7:G8">
    <cfRule type="expression" dxfId="73" priority="61">
      <formula>H7=0</formula>
    </cfRule>
  </conditionalFormatting>
  <conditionalFormatting sqref="B7:C8 B22:C22">
    <cfRule type="expression" dxfId="72" priority="62">
      <formula>J7=0</formula>
    </cfRule>
  </conditionalFormatting>
  <conditionalFormatting sqref="C7:D9 C15:D17 C19:D20">
    <cfRule type="expression" dxfId="71" priority="63">
      <formula>I7=0</formula>
    </cfRule>
  </conditionalFormatting>
  <conditionalFormatting sqref="E7:E9 E15:E17 E19:E20">
    <cfRule type="expression" dxfId="70" priority="64">
      <formula>O7=0</formula>
    </cfRule>
  </conditionalFormatting>
  <conditionalFormatting sqref="A6">
    <cfRule type="expression" dxfId="1" priority="2">
      <formula>#REF!=0</formula>
    </cfRule>
  </conditionalFormatting>
  <conditionalFormatting sqref="A6">
    <cfRule type="expression" dxfId="0" priority="1">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C28"/>
  <sheetViews>
    <sheetView showGridLines="0" zoomScale="80" zoomScaleNormal="80" workbookViewId="0"/>
  </sheetViews>
  <sheetFormatPr defaultColWidth="9.33203125" defaultRowHeight="13.2"/>
  <cols>
    <col min="1" max="1" width="45.6640625" style="384" customWidth="1"/>
    <col min="2" max="4" width="12.6640625" style="384" customWidth="1"/>
    <col min="5" max="5" width="12.6640625" style="11" customWidth="1"/>
    <col min="6" max="14" width="12.6640625" style="384" customWidth="1"/>
    <col min="15" max="18" width="12.6640625" style="11" customWidth="1"/>
    <col min="19" max="19" width="12.6640625" style="384" customWidth="1"/>
    <col min="20" max="37" width="9.6640625" style="384" customWidth="1"/>
    <col min="38" max="16384" width="9.33203125" style="384"/>
  </cols>
  <sheetData>
    <row r="1" spans="1:29" ht="39.75" customHeight="1">
      <c r="A1" s="156" t="s">
        <v>86</v>
      </c>
      <c r="D1" s="15"/>
    </row>
    <row r="2" spans="1:29" ht="39.75" customHeight="1" thickBot="1">
      <c r="A2" s="385" t="s">
        <v>487</v>
      </c>
      <c r="B2" s="385"/>
      <c r="C2" s="385"/>
      <c r="D2" s="385"/>
      <c r="E2" s="385"/>
      <c r="F2" s="385"/>
      <c r="G2" s="385"/>
      <c r="H2" s="385"/>
      <c r="I2" s="385"/>
      <c r="J2" s="385"/>
      <c r="K2" s="385"/>
      <c r="L2" s="385"/>
      <c r="M2" s="385"/>
      <c r="N2" s="385"/>
      <c r="O2" s="385"/>
      <c r="P2" s="385"/>
      <c r="Q2" s="385"/>
      <c r="R2" s="385"/>
      <c r="Z2" s="443"/>
      <c r="AA2" s="443"/>
      <c r="AB2" s="443"/>
      <c r="AC2" s="443"/>
    </row>
    <row r="3" spans="1:29">
      <c r="C3" s="482"/>
    </row>
    <row r="4" spans="1:29" s="388" customFormat="1">
      <c r="A4" s="386" t="s">
        <v>553</v>
      </c>
      <c r="C4" s="391"/>
      <c r="D4" s="14"/>
      <c r="S4" s="384"/>
      <c r="T4" s="384"/>
      <c r="U4" s="384"/>
      <c r="V4" s="384"/>
      <c r="W4" s="384"/>
      <c r="X4" s="384"/>
      <c r="Y4" s="384"/>
    </row>
    <row r="5" spans="1:29" s="509" customFormat="1" ht="18.75" customHeight="1">
      <c r="A5" s="483"/>
      <c r="B5" s="484" t="s">
        <v>107</v>
      </c>
      <c r="C5" s="484" t="s">
        <v>603</v>
      </c>
      <c r="D5" s="484" t="s">
        <v>604</v>
      </c>
      <c r="E5" s="485"/>
      <c r="F5" s="484" t="s">
        <v>605</v>
      </c>
      <c r="G5" s="484" t="s">
        <v>606</v>
      </c>
      <c r="H5" s="484" t="s">
        <v>607</v>
      </c>
      <c r="I5" s="484" t="s">
        <v>608</v>
      </c>
      <c r="J5" s="484" t="s">
        <v>609</v>
      </c>
      <c r="K5" s="484" t="s">
        <v>610</v>
      </c>
      <c r="L5" s="598" t="s">
        <v>611</v>
      </c>
      <c r="M5" s="598" t="s">
        <v>612</v>
      </c>
      <c r="N5" s="598" t="s">
        <v>613</v>
      </c>
      <c r="O5" s="598" t="s">
        <v>614</v>
      </c>
      <c r="P5" s="598" t="s">
        <v>615</v>
      </c>
      <c r="Q5" s="598" t="s">
        <v>616</v>
      </c>
      <c r="R5" s="598" t="s">
        <v>617</v>
      </c>
      <c r="S5" s="384"/>
      <c r="T5" s="384"/>
      <c r="U5" s="384"/>
      <c r="V5" s="384"/>
      <c r="W5" s="384"/>
      <c r="X5" s="384"/>
      <c r="Y5" s="384"/>
    </row>
    <row r="6" spans="1:29" s="509" customFormat="1" ht="15" customHeight="1">
      <c r="A6" s="406" t="s">
        <v>601</v>
      </c>
      <c r="B6" s="551"/>
      <c r="C6" s="551"/>
      <c r="D6" s="552"/>
      <c r="E6" s="495"/>
      <c r="F6" s="553"/>
      <c r="G6" s="551"/>
      <c r="H6" s="551"/>
      <c r="I6" s="551"/>
      <c r="J6" s="551"/>
      <c r="K6" s="551"/>
      <c r="L6" s="551"/>
      <c r="M6" s="551"/>
      <c r="N6" s="551"/>
      <c r="O6" s="551"/>
      <c r="P6" s="551"/>
      <c r="Q6" s="551"/>
      <c r="R6" s="551"/>
      <c r="S6" s="384"/>
      <c r="T6" s="384"/>
      <c r="U6" s="384"/>
      <c r="V6" s="384"/>
      <c r="W6" s="384"/>
      <c r="X6" s="384"/>
      <c r="Y6" s="384"/>
    </row>
    <row r="7" spans="1:29" s="388" customFormat="1">
      <c r="A7" s="397" t="s">
        <v>150</v>
      </c>
      <c r="B7" s="513">
        <v>71</v>
      </c>
      <c r="C7" s="490"/>
      <c r="D7" s="554"/>
      <c r="E7" s="555"/>
      <c r="F7" s="492">
        <f>41329.563/1000</f>
        <v>41.329563</v>
      </c>
      <c r="G7" s="490"/>
      <c r="H7" s="490">
        <f>5732.755/1000</f>
        <v>5.732755</v>
      </c>
      <c r="I7" s="490">
        <f>28343.773/1000</f>
        <v>28.343773000000002</v>
      </c>
      <c r="J7" s="490">
        <f>37278.08/1000</f>
        <v>37.278080000000003</v>
      </c>
      <c r="K7" s="490"/>
      <c r="L7" s="490"/>
      <c r="M7" s="490"/>
      <c r="N7" s="490"/>
      <c r="O7" s="490"/>
      <c r="P7" s="490"/>
      <c r="Q7" s="490"/>
      <c r="R7" s="490"/>
      <c r="S7" s="384"/>
      <c r="T7" s="384"/>
      <c r="U7" s="384"/>
      <c r="V7" s="384"/>
      <c r="W7" s="384"/>
      <c r="X7" s="384"/>
      <c r="Y7" s="384"/>
    </row>
    <row r="8" spans="1:29" s="388" customFormat="1">
      <c r="A8" s="397" t="s">
        <v>621</v>
      </c>
      <c r="B8" s="556"/>
      <c r="C8" s="557"/>
      <c r="D8" s="558"/>
      <c r="E8" s="491"/>
      <c r="F8" s="559">
        <f>8846/1000</f>
        <v>8.8460000000000001</v>
      </c>
      <c r="G8" s="556"/>
      <c r="H8" s="556"/>
      <c r="I8" s="556"/>
      <c r="J8" s="556"/>
      <c r="K8" s="556"/>
      <c r="L8" s="556"/>
      <c r="M8" s="556"/>
      <c r="N8" s="556"/>
      <c r="O8" s="556"/>
      <c r="P8" s="556"/>
      <c r="Q8" s="556"/>
      <c r="R8" s="556"/>
      <c r="S8" s="384"/>
      <c r="T8" s="384"/>
      <c r="U8" s="384"/>
      <c r="V8" s="384"/>
      <c r="W8" s="384"/>
      <c r="X8" s="384"/>
      <c r="Y8" s="384"/>
    </row>
    <row r="9" spans="1:29" s="411" customFormat="1" ht="13.8" thickBot="1">
      <c r="A9" s="493" t="s">
        <v>81</v>
      </c>
      <c r="B9" s="494">
        <f>SUM(B7:B8)</f>
        <v>71</v>
      </c>
      <c r="C9" s="494"/>
      <c r="D9" s="560"/>
      <c r="E9" s="495"/>
      <c r="F9" s="496">
        <f>SUM(F7:F8)</f>
        <v>50.175562999999997</v>
      </c>
      <c r="G9" s="494"/>
      <c r="H9" s="494">
        <f>SUM(H7:H8)</f>
        <v>5.732755</v>
      </c>
      <c r="I9" s="494">
        <f>SUM(I7:I8)</f>
        <v>28.343773000000002</v>
      </c>
      <c r="J9" s="494">
        <f>SUM(J7:J8)</f>
        <v>37.278080000000003</v>
      </c>
      <c r="K9" s="494"/>
      <c r="L9" s="494"/>
      <c r="M9" s="494"/>
      <c r="N9" s="494"/>
      <c r="O9" s="494"/>
      <c r="P9" s="494"/>
      <c r="Q9" s="494"/>
      <c r="R9" s="494"/>
      <c r="S9" s="384"/>
      <c r="T9" s="384"/>
      <c r="U9" s="384"/>
      <c r="V9" s="384"/>
      <c r="W9" s="384"/>
      <c r="X9" s="384"/>
      <c r="Y9" s="384"/>
    </row>
    <row r="10" spans="1:29" s="509" customFormat="1" ht="15" customHeight="1">
      <c r="A10" s="497" t="s">
        <v>519</v>
      </c>
      <c r="B10" s="561"/>
      <c r="C10" s="561"/>
      <c r="D10" s="562"/>
      <c r="E10" s="495"/>
      <c r="F10" s="563"/>
      <c r="G10" s="561"/>
      <c r="H10" s="561"/>
      <c r="I10" s="561"/>
      <c r="J10" s="561"/>
      <c r="K10" s="561"/>
      <c r="L10" s="561"/>
      <c r="M10" s="561"/>
      <c r="N10" s="561"/>
      <c r="O10" s="561"/>
      <c r="P10" s="561"/>
      <c r="Q10" s="561"/>
      <c r="R10" s="561"/>
      <c r="S10" s="444"/>
      <c r="T10" s="444"/>
      <c r="U10" s="444"/>
      <c r="V10" s="444"/>
      <c r="W10" s="444"/>
      <c r="X10" s="444"/>
      <c r="Y10" s="444"/>
    </row>
    <row r="11" spans="1:29">
      <c r="A11" s="397" t="s">
        <v>569</v>
      </c>
      <c r="B11" s="490">
        <f>SUM(G11:J11)</f>
        <v>78.018735399999997</v>
      </c>
      <c r="C11" s="490">
        <f>SUM(N11:N11)</f>
        <v>22.287694999999999</v>
      </c>
      <c r="D11" s="490">
        <f>SUM(O11:R11)</f>
        <v>45.824962646457472</v>
      </c>
      <c r="E11" s="555"/>
      <c r="F11" s="492">
        <f>38705.163/1000</f>
        <v>38.705162999999999</v>
      </c>
      <c r="G11" s="490">
        <f>41890.753/1000</f>
        <v>41.890752999999997</v>
      </c>
      <c r="H11" s="490">
        <f>17120.9484/1000</f>
        <v>17.1209484</v>
      </c>
      <c r="I11" s="490">
        <v>0</v>
      </c>
      <c r="J11" s="490">
        <f>19007.034/1000</f>
        <v>19.007034000000001</v>
      </c>
      <c r="K11" s="490">
        <f>50242.6996999999/1000</f>
        <v>50.242699699999903</v>
      </c>
      <c r="L11" s="490">
        <f>12677.5253/1000</f>
        <v>12.677525299999999</v>
      </c>
      <c r="M11" s="490">
        <f>327.2719/1000</f>
        <v>0.3272719</v>
      </c>
      <c r="N11" s="490">
        <f>22287.695/1000</f>
        <v>22.287694999999999</v>
      </c>
      <c r="O11" s="490">
        <v>18.137147666845042</v>
      </c>
      <c r="P11" s="490">
        <v>8.4871302278313614</v>
      </c>
      <c r="Q11" s="490">
        <v>12.575673420342167</v>
      </c>
      <c r="R11" s="490">
        <v>6.6250113314389054</v>
      </c>
      <c r="S11" s="444"/>
    </row>
    <row r="12" spans="1:29">
      <c r="A12" s="397" t="s">
        <v>150</v>
      </c>
      <c r="B12" s="490">
        <f>SUM(G12:J12)</f>
        <v>229.36959895770002</v>
      </c>
      <c r="C12" s="490"/>
      <c r="D12" s="554"/>
      <c r="E12" s="555"/>
      <c r="F12" s="492">
        <f>138533.23936/1000</f>
        <v>138.53323936000001</v>
      </c>
      <c r="G12" s="490">
        <f>19356.2/1000</f>
        <v>19.356200000000001</v>
      </c>
      <c r="H12" s="490">
        <f>72995.2/1000</f>
        <v>72.995199999999997</v>
      </c>
      <c r="I12" s="490">
        <f>28164.2/1000</f>
        <v>28.164200000000001</v>
      </c>
      <c r="J12" s="490">
        <f>108853.9989577/1000</f>
        <v>108.8539989577</v>
      </c>
      <c r="K12" s="490"/>
      <c r="L12" s="490"/>
      <c r="M12" s="490"/>
      <c r="N12" s="490"/>
      <c r="O12" s="490"/>
      <c r="P12" s="490"/>
      <c r="Q12" s="490"/>
      <c r="R12" s="490"/>
      <c r="S12" s="444"/>
    </row>
    <row r="13" spans="1:29" s="388" customFormat="1">
      <c r="A13" s="397" t="s">
        <v>621</v>
      </c>
      <c r="B13" s="556"/>
      <c r="C13" s="557"/>
      <c r="D13" s="558"/>
      <c r="E13" s="491"/>
      <c r="F13" s="559">
        <f>57508.6/1000</f>
        <v>57.508600000000001</v>
      </c>
      <c r="G13" s="556"/>
      <c r="H13" s="556"/>
      <c r="I13" s="556"/>
      <c r="J13" s="556">
        <f>17278.7/1000</f>
        <v>17.278700000000001</v>
      </c>
      <c r="K13" s="556"/>
      <c r="L13" s="556"/>
      <c r="M13" s="556"/>
      <c r="N13" s="556"/>
      <c r="O13" s="556"/>
      <c r="P13" s="556"/>
      <c r="Q13" s="556"/>
      <c r="R13" s="556"/>
      <c r="S13" s="444"/>
      <c r="T13" s="424"/>
      <c r="U13" s="424"/>
      <c r="V13" s="424"/>
      <c r="W13" s="424"/>
      <c r="X13" s="424"/>
      <c r="Y13" s="424"/>
    </row>
    <row r="14" spans="1:29" s="411" customFormat="1" ht="13.8" thickBot="1">
      <c r="A14" s="493" t="s">
        <v>81</v>
      </c>
      <c r="B14" s="494">
        <f>SUM(B11:B13)</f>
        <v>307.38833435770005</v>
      </c>
      <c r="C14" s="494">
        <f>SUM(C11:C13)</f>
        <v>22.287694999999999</v>
      </c>
      <c r="D14" s="560"/>
      <c r="E14" s="495"/>
      <c r="F14" s="496">
        <f t="shared" ref="F14:R14" si="0">SUM(F11:F13)</f>
        <v>234.74700236000001</v>
      </c>
      <c r="G14" s="494">
        <f t="shared" si="0"/>
        <v>61.246952999999998</v>
      </c>
      <c r="H14" s="494">
        <f t="shared" si="0"/>
        <v>90.1161484</v>
      </c>
      <c r="I14" s="494">
        <f t="shared" si="0"/>
        <v>28.164200000000001</v>
      </c>
      <c r="J14" s="494">
        <f t="shared" si="0"/>
        <v>145.13973295770001</v>
      </c>
      <c r="K14" s="494">
        <f t="shared" si="0"/>
        <v>50.242699699999903</v>
      </c>
      <c r="L14" s="494">
        <f t="shared" si="0"/>
        <v>12.677525299999999</v>
      </c>
      <c r="M14" s="494">
        <f t="shared" si="0"/>
        <v>0.3272719</v>
      </c>
      <c r="N14" s="494">
        <f t="shared" si="0"/>
        <v>22.287694999999999</v>
      </c>
      <c r="O14" s="494">
        <f t="shared" si="0"/>
        <v>18.137147666845042</v>
      </c>
      <c r="P14" s="494">
        <f t="shared" si="0"/>
        <v>8.4871302278313614</v>
      </c>
      <c r="Q14" s="494">
        <f t="shared" si="0"/>
        <v>12.575673420342167</v>
      </c>
      <c r="R14" s="494">
        <f t="shared" si="0"/>
        <v>6.6250113314389054</v>
      </c>
      <c r="S14" s="444"/>
      <c r="T14" s="439"/>
      <c r="U14" s="439"/>
      <c r="V14" s="439"/>
      <c r="W14" s="439"/>
      <c r="X14" s="439"/>
      <c r="Y14" s="439"/>
    </row>
    <row r="15" spans="1:29" s="509" customFormat="1" ht="15" customHeight="1">
      <c r="A15" s="497" t="s">
        <v>563</v>
      </c>
      <c r="B15" s="561"/>
      <c r="C15" s="561"/>
      <c r="D15" s="561"/>
      <c r="E15" s="495"/>
      <c r="F15" s="563"/>
      <c r="G15" s="561"/>
      <c r="H15" s="561"/>
      <c r="I15" s="561"/>
      <c r="J15" s="561"/>
      <c r="K15" s="561"/>
      <c r="L15" s="561"/>
      <c r="M15" s="561"/>
      <c r="N15" s="561"/>
      <c r="O15" s="561"/>
      <c r="P15" s="561"/>
      <c r="Q15" s="561"/>
      <c r="R15" s="561"/>
      <c r="S15" s="444"/>
      <c r="T15" s="444"/>
      <c r="U15" s="444"/>
      <c r="V15" s="444"/>
      <c r="W15" s="444"/>
      <c r="X15" s="444"/>
      <c r="Y15" s="444"/>
    </row>
    <row r="16" spans="1:29" s="509" customFormat="1" ht="15" customHeight="1">
      <c r="A16" s="397" t="s">
        <v>569</v>
      </c>
      <c r="B16" s="564">
        <f>SUM(G16:J16)</f>
        <v>0.49099999999999999</v>
      </c>
      <c r="C16" s="564">
        <f>SUM(K16:N16)</f>
        <v>0.50071181052966218</v>
      </c>
      <c r="D16" s="564">
        <f>SUM(O16:R16)</f>
        <v>0.62936157157961814</v>
      </c>
      <c r="E16" s="495"/>
      <c r="F16" s="565">
        <v>0.14299999999999999</v>
      </c>
      <c r="G16" s="564">
        <v>0.13300000000000001</v>
      </c>
      <c r="H16" s="564">
        <v>0.10199999999999998</v>
      </c>
      <c r="I16" s="564">
        <v>0.15200000000000002</v>
      </c>
      <c r="J16" s="564">
        <v>0.10399999999999998</v>
      </c>
      <c r="K16" s="564">
        <v>0.13477144232422597</v>
      </c>
      <c r="L16" s="564">
        <v>8.9373421328578395E-2</v>
      </c>
      <c r="M16" s="564">
        <v>0.13308032928919619</v>
      </c>
      <c r="N16" s="564">
        <v>0.14348661758766162</v>
      </c>
      <c r="O16" s="564">
        <v>0.17280666537058442</v>
      </c>
      <c r="P16" s="564">
        <v>0.16664343560076156</v>
      </c>
      <c r="Q16" s="564">
        <v>0.13207265981685135</v>
      </c>
      <c r="R16" s="564">
        <v>0.15783881079142081</v>
      </c>
      <c r="S16" s="444"/>
      <c r="T16" s="444"/>
      <c r="U16" s="444"/>
      <c r="V16" s="444"/>
      <c r="W16" s="444"/>
      <c r="X16" s="444"/>
      <c r="Y16" s="444"/>
    </row>
    <row r="17" spans="1:25">
      <c r="A17" s="397" t="s">
        <v>150</v>
      </c>
      <c r="B17" s="564">
        <f>SUM(G17:J17)</f>
        <v>3.625</v>
      </c>
      <c r="C17" s="490"/>
      <c r="D17" s="554"/>
      <c r="E17" s="491"/>
      <c r="F17" s="565">
        <v>2.472</v>
      </c>
      <c r="G17" s="564"/>
      <c r="H17" s="564"/>
      <c r="I17" s="564">
        <v>1.456</v>
      </c>
      <c r="J17" s="564">
        <v>2.169</v>
      </c>
      <c r="K17" s="490"/>
      <c r="L17" s="490"/>
      <c r="M17" s="490"/>
      <c r="N17" s="490"/>
      <c r="O17" s="490"/>
      <c r="P17" s="490"/>
      <c r="Q17" s="490"/>
      <c r="R17" s="490"/>
      <c r="S17" s="444"/>
    </row>
    <row r="18" spans="1:25">
      <c r="A18" s="397" t="s">
        <v>621</v>
      </c>
      <c r="B18" s="566"/>
      <c r="C18" s="556"/>
      <c r="D18" s="558"/>
      <c r="E18" s="491"/>
      <c r="F18" s="567"/>
      <c r="G18" s="566"/>
      <c r="H18" s="566"/>
      <c r="I18" s="566"/>
      <c r="J18" s="566"/>
      <c r="K18" s="556"/>
      <c r="L18" s="556"/>
      <c r="M18" s="556"/>
      <c r="N18" s="556"/>
      <c r="O18" s="556"/>
      <c r="P18" s="556"/>
      <c r="Q18" s="556"/>
      <c r="R18" s="556"/>
      <c r="S18" s="444"/>
    </row>
    <row r="19" spans="1:25" s="411" customFormat="1" ht="13.8" thickBot="1">
      <c r="A19" s="493" t="s">
        <v>81</v>
      </c>
      <c r="B19" s="568">
        <f>SUM(B17:B17)</f>
        <v>3.625</v>
      </c>
      <c r="C19" s="494"/>
      <c r="D19" s="560"/>
      <c r="E19" s="495"/>
      <c r="F19" s="569">
        <f>SUM(F17:F17)</f>
        <v>2.472</v>
      </c>
      <c r="G19" s="568">
        <f>SUM(G17:G17)</f>
        <v>0</v>
      </c>
      <c r="H19" s="568">
        <f>SUM(H17:H17)</f>
        <v>0</v>
      </c>
      <c r="I19" s="568">
        <f>SUM(I17:I17)</f>
        <v>1.456</v>
      </c>
      <c r="J19" s="568">
        <f>SUM(J17:J17)</f>
        <v>2.169</v>
      </c>
      <c r="K19" s="494"/>
      <c r="L19" s="494"/>
      <c r="M19" s="494"/>
      <c r="N19" s="494"/>
      <c r="O19" s="494"/>
      <c r="P19" s="494"/>
      <c r="Q19" s="494"/>
      <c r="R19" s="494"/>
      <c r="S19" s="444"/>
      <c r="T19" s="439"/>
      <c r="U19" s="439"/>
      <c r="V19" s="439"/>
      <c r="W19" s="439"/>
      <c r="X19" s="439"/>
      <c r="Y19" s="439"/>
    </row>
    <row r="20" spans="1:25" s="509" customFormat="1" ht="15" customHeight="1">
      <c r="A20" s="406" t="s">
        <v>520</v>
      </c>
      <c r="B20" s="551"/>
      <c r="C20" s="551"/>
      <c r="D20" s="552"/>
      <c r="E20" s="495"/>
      <c r="F20" s="553"/>
      <c r="G20" s="551"/>
      <c r="H20" s="551"/>
      <c r="I20" s="551"/>
      <c r="J20" s="551"/>
      <c r="K20" s="551"/>
      <c r="L20" s="551"/>
      <c r="M20" s="551"/>
      <c r="N20" s="551"/>
      <c r="O20" s="551"/>
      <c r="P20" s="551"/>
      <c r="Q20" s="551"/>
      <c r="R20" s="551"/>
      <c r="S20" s="444"/>
      <c r="T20" s="444"/>
      <c r="U20" s="444"/>
      <c r="V20" s="444"/>
      <c r="W20" s="444"/>
      <c r="X20" s="444"/>
      <c r="Y20" s="444"/>
    </row>
    <row r="21" spans="1:25">
      <c r="A21" s="397" t="s">
        <v>150</v>
      </c>
      <c r="B21" s="556">
        <f>SUM(G21:J21)</f>
        <v>126.785</v>
      </c>
      <c r="C21" s="557"/>
      <c r="D21" s="558"/>
      <c r="E21" s="541"/>
      <c r="F21" s="559">
        <v>54.459000000000003</v>
      </c>
      <c r="G21" s="556">
        <v>3.2890000000000001</v>
      </c>
      <c r="H21" s="556">
        <v>35.369999999999997</v>
      </c>
      <c r="I21" s="556">
        <v>37.857999999999997</v>
      </c>
      <c r="J21" s="556">
        <v>50.268000000000001</v>
      </c>
      <c r="K21" s="556"/>
      <c r="L21" s="556"/>
      <c r="M21" s="556"/>
      <c r="N21" s="556"/>
      <c r="O21" s="556"/>
      <c r="P21" s="556"/>
      <c r="Q21" s="556"/>
      <c r="R21" s="556"/>
      <c r="S21" s="444"/>
    </row>
    <row r="22" spans="1:25">
      <c r="A22" s="397" t="s">
        <v>621</v>
      </c>
      <c r="B22" s="556">
        <f>SUM(G22:J22)</f>
        <v>16.538</v>
      </c>
      <c r="C22" s="557"/>
      <c r="D22" s="558"/>
      <c r="E22" s="541"/>
      <c r="F22" s="559">
        <v>33.356999999999999</v>
      </c>
      <c r="G22" s="556"/>
      <c r="H22" s="556"/>
      <c r="I22" s="556"/>
      <c r="J22" s="556">
        <v>16.538</v>
      </c>
      <c r="K22" s="556"/>
      <c r="L22" s="556"/>
      <c r="M22" s="556"/>
      <c r="N22" s="556"/>
      <c r="O22" s="556"/>
      <c r="P22" s="556"/>
      <c r="Q22" s="556"/>
      <c r="R22" s="556"/>
      <c r="S22" s="444"/>
    </row>
    <row r="23" spans="1:25" ht="13.8" thickBot="1">
      <c r="A23" s="493" t="s">
        <v>81</v>
      </c>
      <c r="B23" s="494">
        <f>SUM(B21:B22)</f>
        <v>143.32300000000001</v>
      </c>
      <c r="C23" s="494"/>
      <c r="D23" s="560"/>
      <c r="E23" s="541"/>
      <c r="F23" s="496">
        <f>SUM(F21:F22)</f>
        <v>87.816000000000003</v>
      </c>
      <c r="G23" s="494">
        <f t="shared" ref="G23:H23" si="1">SUM(G21:G22)</f>
        <v>3.2890000000000001</v>
      </c>
      <c r="H23" s="494">
        <f t="shared" si="1"/>
        <v>35.369999999999997</v>
      </c>
      <c r="I23" s="494">
        <f>SUM(I21:I22)</f>
        <v>37.857999999999997</v>
      </c>
      <c r="J23" s="494">
        <f>SUM(J21:J22)</f>
        <v>66.805999999999997</v>
      </c>
      <c r="K23" s="494"/>
      <c r="L23" s="494"/>
      <c r="M23" s="494"/>
      <c r="N23" s="494"/>
      <c r="O23" s="494"/>
      <c r="P23" s="494"/>
      <c r="Q23" s="494"/>
      <c r="R23" s="494"/>
      <c r="S23" s="444"/>
    </row>
    <row r="24" spans="1:25">
      <c r="A24" s="463" t="s">
        <v>521</v>
      </c>
      <c r="D24" s="46"/>
      <c r="S24" s="444"/>
    </row>
    <row r="25" spans="1:25">
      <c r="A25" s="463" t="s">
        <v>510</v>
      </c>
      <c r="D25" s="46"/>
      <c r="S25" s="444"/>
    </row>
    <row r="26" spans="1:25">
      <c r="E26" s="384"/>
      <c r="O26" s="384"/>
      <c r="P26" s="384"/>
      <c r="Q26" s="384"/>
      <c r="R26" s="384"/>
      <c r="S26" s="444"/>
    </row>
    <row r="27" spans="1:25">
      <c r="E27" s="384"/>
      <c r="F27" s="549"/>
      <c r="G27" s="549"/>
      <c r="H27" s="549"/>
      <c r="I27" s="549"/>
      <c r="J27" s="549"/>
      <c r="K27" s="549"/>
      <c r="L27" s="549"/>
      <c r="M27" s="549"/>
      <c r="N27" s="549"/>
      <c r="O27" s="384"/>
      <c r="P27" s="384"/>
      <c r="Q27" s="384"/>
      <c r="R27" s="549"/>
      <c r="S27" s="549"/>
      <c r="T27" s="549"/>
      <c r="U27" s="549"/>
      <c r="V27" s="549"/>
      <c r="W27" s="549"/>
    </row>
    <row r="28" spans="1:25">
      <c r="E28" s="384"/>
      <c r="F28" s="570"/>
      <c r="G28" s="570"/>
      <c r="H28" s="570"/>
      <c r="I28" s="570"/>
      <c r="J28" s="570"/>
      <c r="K28" s="570"/>
      <c r="L28" s="570"/>
      <c r="M28" s="570"/>
      <c r="N28" s="570"/>
      <c r="O28" s="570"/>
      <c r="P28" s="570"/>
      <c r="Q28" s="570"/>
      <c r="R28" s="570"/>
    </row>
  </sheetData>
  <conditionalFormatting sqref="E9:R9 B9:C9 F7:N8">
    <cfRule type="expression" dxfId="69" priority="26">
      <formula>#REF!=0</formula>
    </cfRule>
  </conditionalFormatting>
  <conditionalFormatting sqref="F12:N12">
    <cfRule type="expression" dxfId="68" priority="25">
      <formula>#REF!=0</formula>
    </cfRule>
  </conditionalFormatting>
  <conditionalFormatting sqref="B14:C14 E14:R14">
    <cfRule type="expression" dxfId="67" priority="24">
      <formula>#REF!=0</formula>
    </cfRule>
  </conditionalFormatting>
  <conditionalFormatting sqref="E8:N8 E13:N13">
    <cfRule type="expression" dxfId="66" priority="23">
      <formula>X8=0</formula>
    </cfRule>
  </conditionalFormatting>
  <conditionalFormatting sqref="B23:C23 B17:C18 B16:D16 E17:N18 F13:N13">
    <cfRule type="expression" dxfId="65" priority="22">
      <formula>#REF!=0</formula>
    </cfRule>
  </conditionalFormatting>
  <conditionalFormatting sqref="B19:C20 B6:C6 E6:N6 F11:N11 E20:N20">
    <cfRule type="expression" dxfId="64" priority="21">
      <formula>#REF!=0</formula>
    </cfRule>
  </conditionalFormatting>
  <conditionalFormatting sqref="O7:R8 B10:C10 B15:D15 C11:D11 E10:N10 E15:N16 F21:N23 F19:R19 O16:R16">
    <cfRule type="expression" dxfId="63" priority="20">
      <formula>#REF!=0</formula>
    </cfRule>
  </conditionalFormatting>
  <conditionalFormatting sqref="C12">
    <cfRule type="expression" dxfId="62" priority="19">
      <formula>S12=0</formula>
    </cfRule>
  </conditionalFormatting>
  <conditionalFormatting sqref="C7">
    <cfRule type="expression" dxfId="61" priority="18">
      <formula>U7=0</formula>
    </cfRule>
  </conditionalFormatting>
  <conditionalFormatting sqref="E19:N19">
    <cfRule type="expression" dxfId="60" priority="17">
      <formula>#REF!=0</formula>
    </cfRule>
  </conditionalFormatting>
  <conditionalFormatting sqref="B21:C22 B13:C13 B8:C8">
    <cfRule type="expression" dxfId="59" priority="16">
      <formula>V8=0</formula>
    </cfRule>
  </conditionalFormatting>
  <conditionalFormatting sqref="O12:R12">
    <cfRule type="expression" dxfId="58" priority="15">
      <formula>#REF!=0</formula>
    </cfRule>
  </conditionalFormatting>
  <conditionalFormatting sqref="O17:R18">
    <cfRule type="expression" dxfId="57" priority="14">
      <formula>#REF!=0</formula>
    </cfRule>
  </conditionalFormatting>
  <conditionalFormatting sqref="O6:R6">
    <cfRule type="expression" dxfId="56" priority="13">
      <formula>#REF!=0</formula>
    </cfRule>
  </conditionalFormatting>
  <conditionalFormatting sqref="O10:R10">
    <cfRule type="expression" dxfId="55" priority="12">
      <formula>#REF!=0</formula>
    </cfRule>
  </conditionalFormatting>
  <conditionalFormatting sqref="O15:R15">
    <cfRule type="expression" dxfId="54" priority="11">
      <formula>#REF!=0</formula>
    </cfRule>
  </conditionalFormatting>
  <conditionalFormatting sqref="O13:R13">
    <cfRule type="expression" dxfId="53" priority="10">
      <formula>#REF!=0</formula>
    </cfRule>
  </conditionalFormatting>
  <conditionalFormatting sqref="O20:R20">
    <cfRule type="expression" dxfId="52" priority="9">
      <formula>#REF!=0</formula>
    </cfRule>
  </conditionalFormatting>
  <conditionalFormatting sqref="O21:R22">
    <cfRule type="expression" dxfId="51" priority="8">
      <formula>#REF!=0</formula>
    </cfRule>
  </conditionalFormatting>
  <conditionalFormatting sqref="O23:R23">
    <cfRule type="expression" dxfId="50" priority="7">
      <formula>#REF!=0</formula>
    </cfRule>
  </conditionalFormatting>
  <conditionalFormatting sqref="F17:N18">
    <cfRule type="expression" dxfId="49" priority="6">
      <formula>#REF!=0</formula>
    </cfRule>
  </conditionalFormatting>
  <conditionalFormatting sqref="B11:C11">
    <cfRule type="expression" dxfId="48" priority="5">
      <formula>#REF!=0</formula>
    </cfRule>
  </conditionalFormatting>
  <conditionalFormatting sqref="B12:C12">
    <cfRule type="expression" dxfId="47" priority="4">
      <formula>#REF!=0</formula>
    </cfRule>
  </conditionalFormatting>
  <conditionalFormatting sqref="F16:N16">
    <cfRule type="expression" dxfId="46" priority="3">
      <formula>#REF!=0</formula>
    </cfRule>
  </conditionalFormatting>
  <conditionalFormatting sqref="O11:R11">
    <cfRule type="expression" dxfId="45" priority="1">
      <formula>#REF!=0</formula>
    </cfRule>
  </conditionalFormatting>
  <conditionalFormatting sqref="K11">
    <cfRule type="expression" dxfId="44" priority="2">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V25"/>
  <sheetViews>
    <sheetView showGridLines="0" zoomScale="80" zoomScaleNormal="80" zoomScaleSheetLayoutView="50" workbookViewId="0"/>
  </sheetViews>
  <sheetFormatPr defaultColWidth="9.33203125" defaultRowHeight="13.2"/>
  <cols>
    <col min="1" max="1" width="52.33203125" style="384" customWidth="1"/>
    <col min="2" max="5" width="12.6640625" style="384" customWidth="1"/>
    <col min="6" max="6" width="12.6640625" style="11" customWidth="1"/>
    <col min="7" max="22" width="12.6640625" style="384" customWidth="1"/>
    <col min="23" max="35" width="9.6640625" style="384" customWidth="1"/>
    <col min="36" max="16384" width="9.33203125" style="384"/>
  </cols>
  <sheetData>
    <row r="1" spans="1:22" ht="39.75" customHeight="1">
      <c r="A1" s="156" t="s">
        <v>86</v>
      </c>
      <c r="E1" s="15"/>
      <c r="L1" s="424"/>
      <c r="M1" s="571"/>
      <c r="N1" s="571"/>
      <c r="O1" s="571"/>
      <c r="P1" s="571"/>
      <c r="Q1" s="571"/>
      <c r="R1" s="571"/>
      <c r="S1" s="571"/>
      <c r="T1" s="571"/>
      <c r="U1" s="571"/>
      <c r="V1" s="571"/>
    </row>
    <row r="2" spans="1:22" ht="39.75" customHeight="1" thickBot="1">
      <c r="A2" s="385" t="s">
        <v>488</v>
      </c>
      <c r="B2" s="385"/>
      <c r="C2" s="385"/>
      <c r="D2" s="385"/>
      <c r="E2" s="385"/>
      <c r="F2" s="385"/>
      <c r="G2" s="385"/>
      <c r="H2" s="385"/>
      <c r="I2" s="385"/>
      <c r="J2" s="385"/>
      <c r="K2" s="385"/>
      <c r="L2" s="424"/>
      <c r="M2" s="571"/>
      <c r="N2" s="571"/>
      <c r="O2" s="571"/>
      <c r="P2" s="571"/>
      <c r="Q2" s="571"/>
      <c r="R2" s="571"/>
      <c r="S2" s="571"/>
      <c r="T2" s="571"/>
      <c r="U2" s="571"/>
      <c r="V2" s="571"/>
    </row>
    <row r="3" spans="1:22">
      <c r="D3" s="482"/>
      <c r="L3" s="424"/>
      <c r="M3" s="571"/>
      <c r="N3" s="571"/>
      <c r="O3" s="571"/>
      <c r="P3" s="571"/>
      <c r="Q3" s="571"/>
      <c r="R3" s="571"/>
      <c r="S3" s="571"/>
      <c r="T3" s="571"/>
      <c r="U3" s="571"/>
      <c r="V3" s="571"/>
    </row>
    <row r="4" spans="1:22" s="388" customFormat="1">
      <c r="A4" s="386" t="s">
        <v>553</v>
      </c>
      <c r="E4" s="14"/>
      <c r="G4" s="384"/>
      <c r="L4" s="424"/>
      <c r="M4" s="571"/>
      <c r="N4" s="571"/>
      <c r="O4" s="571"/>
      <c r="P4" s="571"/>
      <c r="Q4" s="571"/>
      <c r="R4" s="571"/>
      <c r="S4" s="571"/>
      <c r="T4" s="571"/>
      <c r="U4" s="571"/>
      <c r="V4" s="571"/>
    </row>
    <row r="5" spans="1:22" s="509" customFormat="1" ht="18.75" customHeight="1">
      <c r="A5" s="483"/>
      <c r="B5" s="484" t="s">
        <v>618</v>
      </c>
      <c r="C5" s="484" t="s">
        <v>107</v>
      </c>
      <c r="D5" s="484" t="s">
        <v>603</v>
      </c>
      <c r="E5" s="484" t="s">
        <v>604</v>
      </c>
      <c r="F5" s="485"/>
      <c r="G5" s="484" t="s">
        <v>605</v>
      </c>
      <c r="H5" s="484" t="s">
        <v>606</v>
      </c>
      <c r="I5" s="484" t="s">
        <v>607</v>
      </c>
      <c r="J5" s="484" t="s">
        <v>608</v>
      </c>
      <c r="K5" s="484" t="s">
        <v>609</v>
      </c>
      <c r="L5" s="424"/>
      <c r="M5" s="571"/>
      <c r="N5" s="571"/>
      <c r="O5" s="571"/>
      <c r="P5" s="571"/>
      <c r="Q5" s="571"/>
      <c r="R5" s="571"/>
      <c r="S5" s="571"/>
      <c r="T5" s="571"/>
      <c r="U5" s="571"/>
      <c r="V5" s="571"/>
    </row>
    <row r="6" spans="1:22" s="509" customFormat="1" ht="15" customHeight="1">
      <c r="A6" s="406" t="s">
        <v>601</v>
      </c>
      <c r="B6" s="551"/>
      <c r="C6" s="551"/>
      <c r="D6" s="572"/>
      <c r="E6" s="552"/>
      <c r="F6" s="495"/>
      <c r="G6" s="553"/>
      <c r="H6" s="551"/>
      <c r="I6" s="551"/>
      <c r="J6" s="551"/>
      <c r="K6" s="551"/>
      <c r="L6" s="424"/>
      <c r="M6" s="571"/>
      <c r="N6" s="571"/>
      <c r="O6" s="571"/>
      <c r="P6" s="571"/>
      <c r="Q6" s="571"/>
      <c r="R6" s="571"/>
      <c r="S6" s="571"/>
      <c r="T6" s="571"/>
      <c r="U6" s="571"/>
      <c r="V6" s="571"/>
    </row>
    <row r="7" spans="1:22" s="571" customFormat="1" ht="13.8" thickBot="1">
      <c r="A7" s="543" t="s">
        <v>622</v>
      </c>
      <c r="B7" s="573"/>
      <c r="C7" s="573">
        <f>SUM(H7:K7)</f>
        <v>1180.1025999999999</v>
      </c>
      <c r="D7" s="568"/>
      <c r="E7" s="568"/>
      <c r="F7" s="574"/>
      <c r="G7" s="575">
        <f>220593.4/1000</f>
        <v>220.5934</v>
      </c>
      <c r="H7" s="573">
        <f>49394/1000</f>
        <v>49.393999999999998</v>
      </c>
      <c r="I7" s="573">
        <f>289221.4/1000</f>
        <v>289.22140000000002</v>
      </c>
      <c r="J7" s="573">
        <f>534505.9/1000</f>
        <v>534.5059</v>
      </c>
      <c r="K7" s="573">
        <f>306981.3/1000</f>
        <v>306.98129999999998</v>
      </c>
      <c r="L7" s="424"/>
    </row>
    <row r="8" spans="1:22" s="509" customFormat="1" ht="15" customHeight="1">
      <c r="A8" s="497" t="s">
        <v>538</v>
      </c>
      <c r="B8" s="498"/>
      <c r="C8" s="498"/>
      <c r="D8" s="561"/>
      <c r="E8" s="561"/>
      <c r="F8" s="491"/>
      <c r="G8" s="499"/>
      <c r="H8" s="498"/>
      <c r="I8" s="498"/>
      <c r="J8" s="498"/>
      <c r="K8" s="498"/>
      <c r="L8" s="424"/>
      <c r="M8" s="576"/>
      <c r="N8" s="576"/>
      <c r="O8" s="576"/>
      <c r="P8" s="576"/>
      <c r="Q8" s="576"/>
      <c r="R8" s="571"/>
      <c r="S8" s="571"/>
      <c r="T8" s="571"/>
      <c r="U8" s="571"/>
      <c r="V8" s="571"/>
    </row>
    <row r="9" spans="1:22" s="571" customFormat="1" ht="13.8" thickBot="1">
      <c r="A9" s="543" t="s">
        <v>622</v>
      </c>
      <c r="B9" s="577"/>
      <c r="C9" s="577">
        <f>C7/(455*24*365)*1000</f>
        <v>0.29607672236439359</v>
      </c>
      <c r="D9" s="578"/>
      <c r="E9" s="578"/>
      <c r="F9" s="579"/>
      <c r="G9" s="580">
        <f>G7/(455*2160)*1000</f>
        <v>0.22445400895400897</v>
      </c>
      <c r="H9" s="577">
        <f>H7/(455*2160)*1000</f>
        <v>5.0258445258445257E-2</v>
      </c>
      <c r="I9" s="577">
        <f>I7/(455*2184)*1000</f>
        <v>0.2910491889063318</v>
      </c>
      <c r="J9" s="577">
        <f>J7/(455*2208)*1000</f>
        <v>0.53203724717311673</v>
      </c>
      <c r="K9" s="577">
        <f>K7/(455*2208)*1000</f>
        <v>0.3055634854276158</v>
      </c>
      <c r="L9" s="424"/>
      <c r="Q9" s="581"/>
    </row>
    <row r="10" spans="1:22" s="509" customFormat="1" ht="15" customHeight="1">
      <c r="A10" s="497" t="s">
        <v>563</v>
      </c>
      <c r="B10" s="498"/>
      <c r="C10" s="498"/>
      <c r="D10" s="582"/>
      <c r="E10" s="582"/>
      <c r="F10" s="491"/>
      <c r="G10" s="499"/>
      <c r="H10" s="498"/>
      <c r="I10" s="498"/>
      <c r="J10" s="498"/>
      <c r="K10" s="498"/>
      <c r="L10" s="424"/>
      <c r="M10" s="444"/>
      <c r="N10" s="444"/>
      <c r="O10" s="444"/>
      <c r="P10" s="444"/>
      <c r="Q10" s="444"/>
    </row>
    <row r="11" spans="1:22" s="571" customFormat="1" ht="13.8" thickBot="1">
      <c r="A11" s="543" t="s">
        <v>622</v>
      </c>
      <c r="B11" s="573"/>
      <c r="C11" s="573">
        <f>SUM(H11:K11)</f>
        <v>3.617</v>
      </c>
      <c r="D11" s="568"/>
      <c r="E11" s="568"/>
      <c r="F11" s="574"/>
      <c r="G11" s="575">
        <v>0.67599999999999993</v>
      </c>
      <c r="H11" s="573">
        <v>0.13700000000000001</v>
      </c>
      <c r="I11" s="573">
        <v>0.94100000000000006</v>
      </c>
      <c r="J11" s="573">
        <v>1.6539999999999997</v>
      </c>
      <c r="K11" s="573">
        <v>0.88500000000000023</v>
      </c>
      <c r="L11" s="424"/>
    </row>
    <row r="12" spans="1:22" s="509" customFormat="1" ht="15" customHeight="1">
      <c r="A12" s="497" t="s">
        <v>600</v>
      </c>
      <c r="B12" s="498"/>
      <c r="C12" s="498"/>
      <c r="D12" s="582"/>
      <c r="E12" s="582"/>
      <c r="F12" s="491"/>
      <c r="G12" s="499"/>
      <c r="H12" s="498"/>
      <c r="I12" s="498"/>
      <c r="J12" s="498"/>
      <c r="K12" s="498"/>
      <c r="L12" s="424"/>
      <c r="M12" s="444"/>
      <c r="N12" s="444"/>
      <c r="O12" s="444"/>
      <c r="P12" s="444"/>
      <c r="Q12" s="444"/>
    </row>
    <row r="13" spans="1:22" s="571" customFormat="1" ht="13.8" thickBot="1">
      <c r="A13" s="543" t="s">
        <v>622</v>
      </c>
      <c r="B13" s="573"/>
      <c r="C13" s="573">
        <v>20.927</v>
      </c>
      <c r="D13" s="568"/>
      <c r="E13" s="568"/>
      <c r="F13" s="574"/>
      <c r="G13" s="575">
        <v>20.73</v>
      </c>
      <c r="H13" s="573">
        <v>10.19</v>
      </c>
      <c r="I13" s="573">
        <v>12.7</v>
      </c>
      <c r="J13" s="573">
        <v>19.350000000000001</v>
      </c>
      <c r="K13" s="573">
        <v>27.84</v>
      </c>
      <c r="L13" s="424"/>
    </row>
    <row r="14" spans="1:22">
      <c r="A14" s="497" t="s">
        <v>567</v>
      </c>
      <c r="B14" s="561"/>
      <c r="C14" s="561"/>
      <c r="D14" s="582"/>
      <c r="E14" s="582"/>
      <c r="F14" s="495"/>
      <c r="G14" s="563"/>
      <c r="H14" s="561"/>
      <c r="I14" s="561"/>
      <c r="J14" s="561"/>
      <c r="K14" s="561"/>
      <c r="L14" s="424"/>
    </row>
    <row r="15" spans="1:22">
      <c r="A15" s="397" t="s">
        <v>77</v>
      </c>
      <c r="B15" s="564"/>
      <c r="C15" s="564"/>
      <c r="D15" s="564">
        <v>150</v>
      </c>
      <c r="E15" s="564">
        <v>159.80000000000001</v>
      </c>
      <c r="F15" s="574"/>
      <c r="G15" s="565"/>
      <c r="H15" s="564"/>
      <c r="I15" s="564"/>
      <c r="J15" s="564"/>
      <c r="K15" s="564"/>
      <c r="L15" s="424"/>
    </row>
    <row r="16" spans="1:22">
      <c r="A16" s="397" t="s">
        <v>575</v>
      </c>
      <c r="B16" s="564">
        <v>33.799999999999997</v>
      </c>
      <c r="C16" s="564">
        <v>36.5</v>
      </c>
      <c r="D16" s="564">
        <v>30.4</v>
      </c>
      <c r="E16" s="564">
        <v>25.6</v>
      </c>
      <c r="F16" s="574"/>
      <c r="G16" s="492"/>
      <c r="H16" s="490"/>
      <c r="I16" s="490"/>
      <c r="J16" s="490"/>
      <c r="K16" s="490"/>
      <c r="L16" s="424"/>
    </row>
    <row r="17" spans="1:12" ht="13.8" thickBot="1">
      <c r="A17" s="493" t="s">
        <v>81</v>
      </c>
      <c r="B17" s="568">
        <f>SUM(B15:B16)</f>
        <v>33.799999999999997</v>
      </c>
      <c r="C17" s="568">
        <f>SUM(C15:C16)</f>
        <v>36.5</v>
      </c>
      <c r="D17" s="568">
        <f t="shared" ref="D17" si="0">SUM(D15:D16)</f>
        <v>180.4</v>
      </c>
      <c r="E17" s="568">
        <f>SUM(E15:E16)</f>
        <v>185.4</v>
      </c>
      <c r="F17" s="583"/>
      <c r="G17" s="496"/>
      <c r="H17" s="494"/>
      <c r="I17" s="494"/>
      <c r="J17" s="494"/>
      <c r="K17" s="494"/>
      <c r="L17" s="424"/>
    </row>
    <row r="18" spans="1:12">
      <c r="A18" s="497" t="s">
        <v>504</v>
      </c>
      <c r="B18" s="561"/>
      <c r="C18" s="561"/>
      <c r="D18" s="582"/>
      <c r="E18" s="582"/>
      <c r="F18" s="495"/>
      <c r="G18" s="563"/>
      <c r="H18" s="561"/>
      <c r="I18" s="561"/>
      <c r="J18" s="561"/>
      <c r="K18" s="561"/>
      <c r="L18" s="424"/>
    </row>
    <row r="19" spans="1:12">
      <c r="A19" s="397" t="s">
        <v>77</v>
      </c>
      <c r="B19" s="564"/>
      <c r="C19" s="564"/>
      <c r="D19" s="584">
        <v>0.05</v>
      </c>
      <c r="E19" s="584">
        <v>4.9500000000000002E-2</v>
      </c>
      <c r="F19" s="574"/>
      <c r="G19" s="565"/>
      <c r="H19" s="564"/>
      <c r="I19" s="564"/>
      <c r="J19" s="564"/>
      <c r="K19" s="564"/>
      <c r="L19" s="424"/>
    </row>
    <row r="20" spans="1:12" ht="13.8" thickBot="1">
      <c r="A20" s="543" t="s">
        <v>575</v>
      </c>
      <c r="B20" s="573" t="s">
        <v>505</v>
      </c>
      <c r="C20" s="573" t="s">
        <v>515</v>
      </c>
      <c r="D20" s="585">
        <v>0.05</v>
      </c>
      <c r="E20" s="585">
        <v>4.9500000000000002E-2</v>
      </c>
      <c r="F20" s="574"/>
      <c r="G20" s="586"/>
      <c r="H20" s="587"/>
      <c r="I20" s="587"/>
      <c r="J20" s="587"/>
      <c r="K20" s="587"/>
      <c r="L20" s="424"/>
    </row>
    <row r="21" spans="1:12">
      <c r="A21" s="497" t="s">
        <v>566</v>
      </c>
      <c r="B21" s="561"/>
      <c r="C21" s="561"/>
      <c r="D21" s="582"/>
      <c r="E21" s="582"/>
      <c r="F21" s="495"/>
      <c r="G21" s="563"/>
      <c r="H21" s="561"/>
      <c r="I21" s="561"/>
      <c r="J21" s="561"/>
      <c r="K21" s="561"/>
      <c r="L21" s="424"/>
    </row>
    <row r="22" spans="1:12">
      <c r="A22" s="397" t="s">
        <v>77</v>
      </c>
      <c r="B22" s="564">
        <v>9.9</v>
      </c>
      <c r="C22" s="564">
        <v>9.8000000000000007</v>
      </c>
      <c r="D22" s="564">
        <v>10.4</v>
      </c>
      <c r="E22" s="564">
        <v>9.9</v>
      </c>
      <c r="F22" s="574"/>
      <c r="G22" s="565"/>
      <c r="H22" s="564"/>
      <c r="I22" s="564"/>
      <c r="J22" s="564"/>
      <c r="K22" s="564"/>
      <c r="L22" s="424"/>
    </row>
    <row r="23" spans="1:12">
      <c r="A23" s="397" t="s">
        <v>575</v>
      </c>
      <c r="B23" s="564">
        <v>4</v>
      </c>
      <c r="C23" s="564">
        <v>3.8</v>
      </c>
      <c r="D23" s="564">
        <v>3.1</v>
      </c>
      <c r="E23" s="564">
        <v>2.1</v>
      </c>
      <c r="F23" s="574"/>
      <c r="G23" s="492"/>
      <c r="H23" s="490"/>
      <c r="I23" s="490"/>
      <c r="J23" s="490"/>
      <c r="K23" s="490"/>
      <c r="L23" s="424"/>
    </row>
    <row r="24" spans="1:12" ht="13.8" thickBot="1">
      <c r="A24" s="493" t="s">
        <v>81</v>
      </c>
      <c r="B24" s="568">
        <f>SUM(B22:B23)</f>
        <v>13.9</v>
      </c>
      <c r="C24" s="568">
        <f>SUM(C22:C23)</f>
        <v>13.600000000000001</v>
      </c>
      <c r="D24" s="568">
        <f t="shared" ref="D24" si="1">SUM(D22:D23)</f>
        <v>13.5</v>
      </c>
      <c r="E24" s="568">
        <f>SUM(E22:E23)</f>
        <v>12</v>
      </c>
      <c r="F24" s="583"/>
      <c r="G24" s="496"/>
      <c r="H24" s="494"/>
      <c r="I24" s="494"/>
      <c r="J24" s="494"/>
      <c r="K24" s="494"/>
      <c r="L24" s="424"/>
    </row>
    <row r="25" spans="1:12">
      <c r="A25" s="464" t="s">
        <v>517</v>
      </c>
    </row>
  </sheetData>
  <conditionalFormatting sqref="H6:K11 H13:K13 C6:D6 C10:D10">
    <cfRule type="expression" dxfId="43" priority="42">
      <formula>#REF!=0</formula>
    </cfRule>
  </conditionalFormatting>
  <conditionalFormatting sqref="G6 G8 H15:K16 H18:K24 H12:K12">
    <cfRule type="expression" dxfId="42" priority="41">
      <formula>#REF!=0</formula>
    </cfRule>
  </conditionalFormatting>
  <conditionalFormatting sqref="F16:G16 B16:D16">
    <cfRule type="expression" dxfId="41" priority="36">
      <formula>#REF!=0</formula>
    </cfRule>
  </conditionalFormatting>
  <conditionalFormatting sqref="H14:K14 H17:K17 F6:G6 B6:D6 F10:G10 B10:D10 F14:G15 F18:G23 B14:D15 B18:D23 B24:E24 B17:E17 F12:G12 B12:D12 B8:G8 C7:E7 C9:E9 C11:E11 C13:E13">
    <cfRule type="expression" dxfId="40" priority="40">
      <formula>#REF!=0</formula>
    </cfRule>
  </conditionalFormatting>
  <conditionalFormatting sqref="C15:D15">
    <cfRule type="expression" dxfId="39" priority="39">
      <formula>#REF!=0</formula>
    </cfRule>
  </conditionalFormatting>
  <conditionalFormatting sqref="F17:G17">
    <cfRule type="expression" dxfId="38" priority="38">
      <formula>#REF!=0</formula>
    </cfRule>
  </conditionalFormatting>
  <conditionalFormatting sqref="C16:D16">
    <cfRule type="expression" dxfId="37" priority="37">
      <formula>#REF!=0</formula>
    </cfRule>
  </conditionalFormatting>
  <conditionalFormatting sqref="C19:D19">
    <cfRule type="expression" dxfId="36" priority="35">
      <formula>#REF!=0</formula>
    </cfRule>
  </conditionalFormatting>
  <conditionalFormatting sqref="C20:D20">
    <cfRule type="expression" dxfId="35" priority="34">
      <formula>#REF!=0</formula>
    </cfRule>
  </conditionalFormatting>
  <conditionalFormatting sqref="C22:D22">
    <cfRule type="expression" dxfId="34" priority="33">
      <formula>#REF!=0</formula>
    </cfRule>
  </conditionalFormatting>
  <conditionalFormatting sqref="F24:G24">
    <cfRule type="expression" dxfId="33" priority="32">
      <formula>#REF!=0</formula>
    </cfRule>
  </conditionalFormatting>
  <conditionalFormatting sqref="C23:D23">
    <cfRule type="expression" dxfId="32" priority="31">
      <formula>#REF!=0</formula>
    </cfRule>
  </conditionalFormatting>
  <conditionalFormatting sqref="D22">
    <cfRule type="expression" dxfId="31" priority="30">
      <formula>#REF!=0</formula>
    </cfRule>
  </conditionalFormatting>
  <conditionalFormatting sqref="D23">
    <cfRule type="expression" dxfId="30" priority="29">
      <formula>#REF!=0</formula>
    </cfRule>
  </conditionalFormatting>
  <conditionalFormatting sqref="D15">
    <cfRule type="expression" dxfId="29" priority="28">
      <formula>#REF!=0</formula>
    </cfRule>
  </conditionalFormatting>
  <conditionalFormatting sqref="D16">
    <cfRule type="expression" dxfId="28" priority="27">
      <formula>#REF!=0</formula>
    </cfRule>
  </conditionalFormatting>
  <conditionalFormatting sqref="G10">
    <cfRule type="expression" dxfId="27" priority="26">
      <formula>#REF!=0</formula>
    </cfRule>
  </conditionalFormatting>
  <conditionalFormatting sqref="G15:G16">
    <cfRule type="expression" dxfId="26" priority="24">
      <formula>#REF!=0</formula>
    </cfRule>
  </conditionalFormatting>
  <conditionalFormatting sqref="G14 G17">
    <cfRule type="expression" dxfId="25" priority="25">
      <formula>#REF!=0</formula>
    </cfRule>
  </conditionalFormatting>
  <conditionalFormatting sqref="G18">
    <cfRule type="expression" dxfId="24" priority="23">
      <formula>#REF!=0</formula>
    </cfRule>
  </conditionalFormatting>
  <conditionalFormatting sqref="G19:G20">
    <cfRule type="expression" dxfId="23" priority="22">
      <formula>#REF!=0</formula>
    </cfRule>
  </conditionalFormatting>
  <conditionalFormatting sqref="G21 G24">
    <cfRule type="expression" dxfId="22" priority="21">
      <formula>#REF!=0</formula>
    </cfRule>
  </conditionalFormatting>
  <conditionalFormatting sqref="G22:G23">
    <cfRule type="expression" dxfId="21" priority="20">
      <formula>#REF!=0</formula>
    </cfRule>
  </conditionalFormatting>
  <conditionalFormatting sqref="G12">
    <cfRule type="expression" dxfId="20" priority="19">
      <formula>#REF!=0</formula>
    </cfRule>
  </conditionalFormatting>
  <conditionalFormatting sqref="E18">
    <cfRule type="expression" dxfId="19" priority="18">
      <formula>#REF!=0</formula>
    </cfRule>
  </conditionalFormatting>
  <conditionalFormatting sqref="E22">
    <cfRule type="expression" dxfId="18" priority="16">
      <formula>#REF!=0</formula>
    </cfRule>
  </conditionalFormatting>
  <conditionalFormatting sqref="E21">
    <cfRule type="expression" dxfId="17" priority="17">
      <formula>#REF!=0</formula>
    </cfRule>
  </conditionalFormatting>
  <conditionalFormatting sqref="E23">
    <cfRule type="expression" dxfId="16" priority="15">
      <formula>#REF!=0</formula>
    </cfRule>
  </conditionalFormatting>
  <conditionalFormatting sqref="E15">
    <cfRule type="expression" dxfId="15" priority="14">
      <formula>#REF!=0</formula>
    </cfRule>
  </conditionalFormatting>
  <conditionalFormatting sqref="E16">
    <cfRule type="expression" dxfId="14" priority="13">
      <formula>#REF!=0</formula>
    </cfRule>
  </conditionalFormatting>
  <conditionalFormatting sqref="F9:G9">
    <cfRule type="expression" dxfId="13" priority="8">
      <formula>#REF!=0</formula>
    </cfRule>
  </conditionalFormatting>
  <conditionalFormatting sqref="B7:D7">
    <cfRule type="expression" dxfId="12" priority="12">
      <formula>#REF!=0</formula>
    </cfRule>
  </conditionalFormatting>
  <conditionalFormatting sqref="F7:G7">
    <cfRule type="expression" dxfId="11" priority="11">
      <formula>#REF!=0</formula>
    </cfRule>
  </conditionalFormatting>
  <conditionalFormatting sqref="G7">
    <cfRule type="expression" dxfId="10" priority="10">
      <formula>#REF!=0</formula>
    </cfRule>
  </conditionalFormatting>
  <conditionalFormatting sqref="B9:D9">
    <cfRule type="expression" dxfId="9" priority="9">
      <formula>#REF!=0</formula>
    </cfRule>
  </conditionalFormatting>
  <conditionalFormatting sqref="G9">
    <cfRule type="expression" dxfId="8" priority="7">
      <formula>#REF!=0</formula>
    </cfRule>
  </conditionalFormatting>
  <conditionalFormatting sqref="B11:D11">
    <cfRule type="expression" dxfId="7" priority="6">
      <formula>#REF!=0</formula>
    </cfRule>
  </conditionalFormatting>
  <conditionalFormatting sqref="F11:G11">
    <cfRule type="expression" dxfId="6" priority="5">
      <formula>#REF!=0</formula>
    </cfRule>
  </conditionalFormatting>
  <conditionalFormatting sqref="G11">
    <cfRule type="expression" dxfId="5" priority="4">
      <formula>#REF!=0</formula>
    </cfRule>
  </conditionalFormatting>
  <conditionalFormatting sqref="B13:D13">
    <cfRule type="expression" dxfId="4" priority="3">
      <formula>#REF!=0</formula>
    </cfRule>
  </conditionalFormatting>
  <conditionalFormatting sqref="F13:G13">
    <cfRule type="expression" dxfId="3" priority="2">
      <formula>#REF!=0</formula>
    </cfRule>
  </conditionalFormatting>
  <conditionalFormatting sqref="G13">
    <cfRule type="expression" dxfId="2"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S76"/>
  <sheetViews>
    <sheetView showGridLines="0" zoomScale="80" zoomScaleNormal="80" workbookViewId="0"/>
  </sheetViews>
  <sheetFormatPr defaultColWidth="9.33203125" defaultRowHeight="13.2"/>
  <cols>
    <col min="1" max="1" width="45.6640625" style="384" customWidth="1"/>
    <col min="2" max="5" width="9.88671875" style="384" customWidth="1"/>
    <col min="6" max="6" width="4.88671875" style="384" customWidth="1"/>
    <col min="7" max="8" width="9.88671875" style="384" customWidth="1"/>
    <col min="9" max="16384" width="9.33203125" style="384"/>
  </cols>
  <sheetData>
    <row r="1" spans="1:19" ht="39.75" customHeight="1">
      <c r="A1" s="156" t="s">
        <v>86</v>
      </c>
    </row>
    <row r="2" spans="1:19" ht="39.75" customHeight="1" thickBot="1">
      <c r="A2" s="385" t="s">
        <v>530</v>
      </c>
      <c r="B2" s="385"/>
      <c r="C2" s="385"/>
      <c r="D2" s="385"/>
      <c r="E2" s="385"/>
      <c r="F2" s="385"/>
      <c r="G2" s="385"/>
      <c r="H2" s="385"/>
      <c r="I2" s="385"/>
      <c r="J2" s="385"/>
      <c r="K2" s="385"/>
      <c r="L2" s="385"/>
      <c r="M2" s="385"/>
      <c r="N2" s="385"/>
      <c r="O2" s="443"/>
      <c r="P2" s="443"/>
      <c r="Q2" s="443"/>
      <c r="R2" s="443"/>
      <c r="S2" s="443"/>
    </row>
    <row r="3" spans="1:19" ht="13.8" thickBot="1"/>
    <row r="4" spans="1:19" ht="13.8" thickBot="1">
      <c r="A4" s="588"/>
      <c r="B4" s="588"/>
      <c r="C4" s="589" t="s">
        <v>522</v>
      </c>
      <c r="D4" s="589">
        <v>2020</v>
      </c>
      <c r="E4" s="589">
        <v>2019</v>
      </c>
      <c r="G4" s="589" t="s">
        <v>507</v>
      </c>
      <c r="H4" s="589" t="s">
        <v>511</v>
      </c>
    </row>
    <row r="5" spans="1:19">
      <c r="A5" s="590" t="s">
        <v>626</v>
      </c>
      <c r="B5" s="591"/>
      <c r="C5" s="591"/>
      <c r="D5" s="591"/>
      <c r="E5" s="591"/>
      <c r="G5" s="591"/>
      <c r="H5" s="591"/>
    </row>
    <row r="6" spans="1:19">
      <c r="A6" s="397" t="s">
        <v>490</v>
      </c>
      <c r="B6" s="591" t="s">
        <v>636</v>
      </c>
      <c r="C6" s="564" t="s">
        <v>523</v>
      </c>
      <c r="D6" s="564">
        <v>34</v>
      </c>
      <c r="E6" s="564">
        <v>46.1</v>
      </c>
      <c r="G6" s="564">
        <v>53.5</v>
      </c>
      <c r="H6" s="564">
        <v>27.5</v>
      </c>
    </row>
    <row r="7" spans="1:19">
      <c r="A7" s="397" t="s">
        <v>524</v>
      </c>
      <c r="B7" s="591" t="s">
        <v>636</v>
      </c>
      <c r="C7" s="564">
        <v>64</v>
      </c>
      <c r="D7" s="564">
        <v>34</v>
      </c>
      <c r="E7" s="564">
        <v>46.3</v>
      </c>
      <c r="G7" s="564">
        <v>51.9</v>
      </c>
      <c r="H7" s="564">
        <v>27.6</v>
      </c>
    </row>
    <row r="8" spans="1:19">
      <c r="A8" s="397" t="s">
        <v>494</v>
      </c>
      <c r="B8" s="591" t="s">
        <v>636</v>
      </c>
      <c r="C8" s="564">
        <v>50.2</v>
      </c>
      <c r="D8" s="564">
        <v>33.700000000000003</v>
      </c>
      <c r="E8" s="564">
        <v>45.9</v>
      </c>
      <c r="G8" s="564">
        <v>51.9</v>
      </c>
      <c r="H8" s="564">
        <v>27.6</v>
      </c>
    </row>
    <row r="9" spans="1:19">
      <c r="A9" s="397" t="s">
        <v>525</v>
      </c>
      <c r="B9" s="591" t="s">
        <v>636</v>
      </c>
      <c r="C9" s="564">
        <v>45.5</v>
      </c>
      <c r="D9" s="564">
        <v>28.8</v>
      </c>
      <c r="E9" s="564">
        <v>39.799999999999997</v>
      </c>
      <c r="G9" s="564">
        <v>48.6</v>
      </c>
      <c r="H9" s="564">
        <v>24</v>
      </c>
    </row>
    <row r="10" spans="1:19">
      <c r="A10" s="397" t="s">
        <v>497</v>
      </c>
      <c r="B10" s="591" t="s">
        <v>636</v>
      </c>
      <c r="C10" s="564">
        <v>20.9</v>
      </c>
      <c r="D10" s="564">
        <v>46</v>
      </c>
      <c r="E10" s="564">
        <v>50.5</v>
      </c>
      <c r="G10" s="564">
        <v>57.4</v>
      </c>
      <c r="H10" s="564">
        <v>38.799999999999997</v>
      </c>
    </row>
    <row r="11" spans="1:19">
      <c r="A11" s="590" t="s">
        <v>627</v>
      </c>
      <c r="B11" s="591" t="s">
        <v>636</v>
      </c>
      <c r="C11" s="564">
        <v>19.8</v>
      </c>
      <c r="D11" s="564">
        <v>9.5194166666666664</v>
      </c>
      <c r="E11" s="564">
        <v>15.430499999999997</v>
      </c>
      <c r="G11" s="564">
        <v>17.7</v>
      </c>
      <c r="H11" s="564">
        <v>11.9</v>
      </c>
    </row>
    <row r="12" spans="1:19">
      <c r="A12" s="590" t="s">
        <v>628</v>
      </c>
      <c r="B12" s="591"/>
      <c r="C12" s="564"/>
      <c r="D12" s="564"/>
      <c r="E12" s="564"/>
      <c r="G12" s="564"/>
      <c r="H12" s="564"/>
    </row>
    <row r="13" spans="1:19">
      <c r="A13" s="397" t="s">
        <v>629</v>
      </c>
      <c r="B13" s="591" t="s">
        <v>637</v>
      </c>
      <c r="C13" s="564"/>
      <c r="D13" s="564">
        <v>71.13</v>
      </c>
      <c r="E13" s="564">
        <v>71.13</v>
      </c>
      <c r="G13" s="564">
        <v>71.13</v>
      </c>
      <c r="H13" s="564">
        <v>71.13</v>
      </c>
    </row>
    <row r="14" spans="1:19">
      <c r="A14" s="397" t="s">
        <v>630</v>
      </c>
      <c r="B14" s="591" t="s">
        <v>637</v>
      </c>
      <c r="C14" s="564"/>
      <c r="D14" s="564">
        <v>62.8</v>
      </c>
      <c r="E14" s="564">
        <v>62.8</v>
      </c>
      <c r="G14" s="564">
        <v>62.8</v>
      </c>
      <c r="H14" s="564">
        <v>62.8</v>
      </c>
    </row>
    <row r="15" spans="1:19">
      <c r="A15" s="590" t="s">
        <v>628</v>
      </c>
      <c r="B15" s="591"/>
      <c r="C15" s="564"/>
      <c r="D15" s="564"/>
      <c r="E15" s="564"/>
      <c r="G15" s="564"/>
      <c r="H15" s="564"/>
    </row>
    <row r="16" spans="1:19">
      <c r="A16" s="397" t="s">
        <v>631</v>
      </c>
      <c r="B16" s="591" t="s">
        <v>637</v>
      </c>
      <c r="C16" s="564"/>
      <c r="D16" s="564">
        <v>80</v>
      </c>
      <c r="E16" s="564">
        <v>80</v>
      </c>
      <c r="G16" s="564">
        <v>80</v>
      </c>
      <c r="H16" s="564">
        <v>80</v>
      </c>
    </row>
    <row r="17" spans="1:8">
      <c r="A17" s="590" t="s">
        <v>632</v>
      </c>
      <c r="B17" s="591"/>
      <c r="C17" s="592"/>
      <c r="D17" s="564"/>
      <c r="E17" s="564"/>
      <c r="G17" s="564"/>
      <c r="H17" s="564"/>
    </row>
    <row r="18" spans="1:8">
      <c r="A18" s="397" t="s">
        <v>633</v>
      </c>
      <c r="B18" s="591" t="s">
        <v>636</v>
      </c>
      <c r="C18" s="592"/>
      <c r="D18" s="564">
        <v>21.05</v>
      </c>
      <c r="E18" s="564">
        <v>27.8</v>
      </c>
      <c r="G18" s="564">
        <v>15.9603305130554</v>
      </c>
      <c r="H18" s="564">
        <v>25.555773268286099</v>
      </c>
    </row>
    <row r="19" spans="1:8">
      <c r="A19" s="397" t="s">
        <v>634</v>
      </c>
      <c r="B19" s="591" t="s">
        <v>636</v>
      </c>
      <c r="C19" s="592"/>
      <c r="D19" s="564">
        <v>25.12</v>
      </c>
      <c r="E19" s="564">
        <v>25.12</v>
      </c>
      <c r="G19" s="564">
        <v>20.502914522467599</v>
      </c>
      <c r="H19" s="564">
        <v>26.915065800699001</v>
      </c>
    </row>
    <row r="20" spans="1:8">
      <c r="A20" s="590" t="s">
        <v>635</v>
      </c>
      <c r="B20" s="591" t="s">
        <v>636</v>
      </c>
      <c r="C20" s="592"/>
      <c r="D20" s="564">
        <v>9.92</v>
      </c>
      <c r="E20" s="564">
        <v>12.56</v>
      </c>
      <c r="G20" s="564">
        <v>11.1</v>
      </c>
      <c r="H20" s="564">
        <v>11.8</v>
      </c>
    </row>
    <row r="21" spans="1:8">
      <c r="A21" s="593" t="s">
        <v>624</v>
      </c>
    </row>
    <row r="22" spans="1:8">
      <c r="A22" s="594" t="s">
        <v>623</v>
      </c>
    </row>
    <row r="23" spans="1:8">
      <c r="A23" s="594" t="s">
        <v>526</v>
      </c>
    </row>
    <row r="24" spans="1:8">
      <c r="A24" s="594" t="s">
        <v>527</v>
      </c>
      <c r="B24" s="595"/>
    </row>
    <row r="25" spans="1:8">
      <c r="A25" s="594" t="s">
        <v>625</v>
      </c>
    </row>
    <row r="26" spans="1:8">
      <c r="A26" s="594" t="s">
        <v>528</v>
      </c>
    </row>
    <row r="76" spans="3:3">
      <c r="C76" s="56"/>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09375" defaultRowHeight="14.7" customHeight="1"/>
  <cols>
    <col min="1" max="1" width="112" style="3" customWidth="1"/>
    <col min="2" max="2" width="12.6640625" style="3" customWidth="1"/>
    <col min="3" max="16384" width="9.109375" style="3"/>
  </cols>
  <sheetData>
    <row r="1" spans="1:15" s="12" customFormat="1" ht="39.9" customHeight="1">
      <c r="A1" s="156" t="s">
        <v>86</v>
      </c>
    </row>
    <row r="2" spans="1:15" s="12" customFormat="1" ht="39.9" customHeight="1" thickBot="1">
      <c r="A2" s="385" t="s">
        <v>648</v>
      </c>
    </row>
    <row r="3" spans="1:15" ht="14.7" customHeight="1">
      <c r="A3" s="611" t="s">
        <v>376</v>
      </c>
    </row>
    <row r="4" spans="1:15" ht="14.7" customHeight="1">
      <c r="A4" s="612"/>
      <c r="C4" s="300"/>
      <c r="D4" s="300"/>
      <c r="E4" s="300"/>
      <c r="F4" s="300"/>
      <c r="G4" s="300"/>
      <c r="H4" s="300"/>
      <c r="I4" s="300"/>
      <c r="J4" s="300"/>
      <c r="K4" s="300"/>
      <c r="L4" s="300"/>
    </row>
    <row r="5" spans="1:15" ht="14.7" customHeight="1">
      <c r="A5" s="612"/>
      <c r="C5" s="300"/>
      <c r="D5" s="300"/>
      <c r="E5" s="300"/>
      <c r="F5" s="300"/>
      <c r="G5" s="300"/>
      <c r="H5" s="300"/>
      <c r="I5" s="300"/>
      <c r="J5" s="300"/>
      <c r="K5" s="300"/>
      <c r="L5" s="300"/>
    </row>
    <row r="6" spans="1:15" ht="14.7" customHeight="1">
      <c r="A6" s="612"/>
      <c r="C6" s="300"/>
      <c r="D6" s="300"/>
      <c r="E6" s="300"/>
      <c r="F6" s="300"/>
      <c r="G6" s="300"/>
      <c r="H6" s="300"/>
      <c r="I6" s="300"/>
      <c r="J6" s="300"/>
      <c r="K6" s="300"/>
      <c r="L6" s="300"/>
    </row>
    <row r="7" spans="1:15" ht="14.7" customHeight="1">
      <c r="A7" s="612"/>
      <c r="C7" s="300"/>
      <c r="D7" s="300"/>
      <c r="E7" s="300"/>
      <c r="F7" s="300"/>
      <c r="G7" s="300"/>
      <c r="H7" s="300"/>
      <c r="I7" s="300"/>
      <c r="J7" s="300"/>
      <c r="K7" s="300"/>
      <c r="L7" s="300"/>
    </row>
    <row r="8" spans="1:15" ht="14.7" customHeight="1">
      <c r="A8" s="612"/>
      <c r="C8" s="300"/>
      <c r="D8" s="300"/>
      <c r="E8" s="300"/>
      <c r="F8" s="300"/>
      <c r="G8" s="300"/>
      <c r="H8" s="300"/>
      <c r="I8" s="300"/>
      <c r="J8" s="300"/>
      <c r="K8" s="300"/>
      <c r="L8" s="300"/>
    </row>
    <row r="9" spans="1:15" ht="14.7" customHeight="1">
      <c r="A9" s="612"/>
      <c r="C9" s="300"/>
      <c r="D9" s="300"/>
      <c r="E9" s="300"/>
      <c r="F9" s="300"/>
      <c r="G9" s="300"/>
      <c r="H9" s="300"/>
      <c r="I9" s="300"/>
      <c r="J9" s="300"/>
      <c r="K9" s="300"/>
      <c r="L9" s="300"/>
    </row>
    <row r="10" spans="1:15" ht="14.7" customHeight="1">
      <c r="A10" s="612"/>
      <c r="C10" s="300"/>
      <c r="D10" s="300"/>
      <c r="E10" s="300"/>
      <c r="F10" s="300"/>
      <c r="G10" s="300"/>
      <c r="H10" s="300"/>
      <c r="I10" s="300"/>
      <c r="J10" s="300"/>
      <c r="K10" s="300"/>
      <c r="L10" s="300"/>
    </row>
    <row r="11" spans="1:15" ht="14.7" customHeight="1">
      <c r="A11" s="44"/>
      <c r="F11" s="300"/>
      <c r="G11" s="300"/>
      <c r="H11" s="300"/>
      <c r="I11" s="300"/>
      <c r="J11" s="300"/>
      <c r="K11" s="300"/>
      <c r="L11" s="300"/>
      <c r="M11" s="300"/>
      <c r="N11" s="300"/>
      <c r="O11" s="300"/>
    </row>
    <row r="12" spans="1:15" ht="14.7" customHeight="1">
      <c r="A12" s="44"/>
      <c r="F12" s="300"/>
      <c r="G12" s="300"/>
      <c r="H12" s="300"/>
      <c r="I12" s="300"/>
      <c r="J12" s="300"/>
      <c r="K12" s="300"/>
      <c r="L12" s="300"/>
      <c r="M12" s="300"/>
      <c r="N12" s="300"/>
      <c r="O12" s="300"/>
    </row>
    <row r="13" spans="1:15" ht="14.7" customHeight="1">
      <c r="A13" s="44"/>
      <c r="F13" s="300"/>
      <c r="G13" s="300"/>
      <c r="H13" s="300"/>
      <c r="I13" s="300"/>
      <c r="J13" s="300"/>
      <c r="K13" s="300"/>
      <c r="L13" s="300"/>
      <c r="M13" s="300"/>
      <c r="N13" s="300"/>
      <c r="O13" s="300"/>
    </row>
    <row r="14" spans="1:15" ht="14.7" customHeight="1">
      <c r="A14" s="44"/>
      <c r="F14" s="300"/>
      <c r="G14" s="300"/>
      <c r="H14" s="300"/>
      <c r="I14" s="300"/>
      <c r="J14" s="300"/>
      <c r="K14" s="300"/>
      <c r="L14" s="300"/>
      <c r="M14" s="300"/>
      <c r="N14" s="300"/>
      <c r="O14" s="300"/>
    </row>
    <row r="15" spans="1:15" ht="14.7" customHeight="1">
      <c r="A15" s="44"/>
      <c r="F15" s="300"/>
      <c r="G15" s="300"/>
      <c r="H15" s="300"/>
      <c r="I15" s="300"/>
      <c r="J15" s="300"/>
      <c r="K15" s="300"/>
      <c r="L15" s="300"/>
      <c r="M15" s="300"/>
      <c r="N15" s="300"/>
      <c r="O15" s="300"/>
    </row>
    <row r="16" spans="1:15" ht="14.7" customHeight="1">
      <c r="A16" s="44"/>
      <c r="F16" s="300"/>
      <c r="G16" s="300"/>
      <c r="H16" s="300"/>
      <c r="I16" s="300"/>
      <c r="J16" s="300"/>
      <c r="K16" s="300"/>
      <c r="L16" s="300"/>
      <c r="M16" s="300"/>
      <c r="N16" s="300"/>
      <c r="O16" s="300"/>
    </row>
    <row r="17" spans="1:15" ht="14.7" customHeight="1">
      <c r="A17" s="44"/>
      <c r="F17" s="300"/>
      <c r="G17" s="300"/>
      <c r="H17" s="300"/>
      <c r="I17" s="300"/>
      <c r="J17" s="300"/>
      <c r="K17" s="300"/>
      <c r="L17" s="300"/>
      <c r="M17" s="300"/>
      <c r="N17" s="300"/>
      <c r="O17" s="300"/>
    </row>
    <row r="18" spans="1:15" ht="14.7" customHeight="1">
      <c r="A18" s="44"/>
      <c r="F18" s="300"/>
      <c r="G18" s="300"/>
      <c r="H18" s="300"/>
      <c r="I18" s="300"/>
      <c r="J18" s="300"/>
      <c r="K18" s="300"/>
      <c r="L18" s="300"/>
      <c r="M18" s="300"/>
      <c r="N18" s="300"/>
      <c r="O18" s="300"/>
    </row>
    <row r="19" spans="1:15" ht="14.7" customHeight="1">
      <c r="A19" s="44"/>
      <c r="F19" s="300"/>
      <c r="G19" s="300"/>
      <c r="H19" s="300"/>
      <c r="I19" s="300"/>
      <c r="J19" s="300"/>
      <c r="K19" s="300"/>
      <c r="L19" s="300"/>
      <c r="M19" s="300"/>
      <c r="N19" s="300"/>
      <c r="O19" s="300"/>
    </row>
    <row r="20" spans="1:15" ht="14.7" customHeight="1">
      <c r="A20" s="44"/>
      <c r="F20" s="300"/>
      <c r="G20" s="300"/>
      <c r="H20" s="300"/>
      <c r="I20" s="300"/>
      <c r="J20" s="300"/>
      <c r="K20" s="300"/>
      <c r="L20" s="300"/>
      <c r="M20" s="300"/>
      <c r="N20" s="300"/>
      <c r="O20" s="300"/>
    </row>
    <row r="21" spans="1:15" ht="14.7" customHeight="1">
      <c r="A21" s="44"/>
      <c r="F21" s="300"/>
      <c r="G21" s="300"/>
      <c r="H21" s="300"/>
      <c r="I21" s="300"/>
      <c r="J21" s="300"/>
      <c r="K21" s="300"/>
      <c r="L21" s="300"/>
      <c r="M21" s="300"/>
      <c r="N21" s="300"/>
      <c r="O21" s="300"/>
    </row>
    <row r="22" spans="1:15" ht="14.7" customHeight="1">
      <c r="A22" s="44"/>
      <c r="F22" s="300"/>
      <c r="G22" s="300"/>
      <c r="H22" s="300"/>
      <c r="I22" s="300"/>
      <c r="J22" s="300"/>
      <c r="K22" s="300"/>
      <c r="L22" s="300"/>
      <c r="M22" s="300"/>
      <c r="N22" s="300"/>
      <c r="O22" s="300"/>
    </row>
    <row r="23" spans="1:15" ht="14.7" customHeight="1">
      <c r="A23" s="44"/>
      <c r="F23" s="300"/>
      <c r="G23" s="300"/>
      <c r="H23" s="300"/>
      <c r="I23" s="300"/>
      <c r="J23" s="300"/>
      <c r="K23" s="300"/>
      <c r="L23" s="300"/>
      <c r="M23" s="300"/>
      <c r="N23" s="300"/>
      <c r="O23" s="300"/>
    </row>
    <row r="24" spans="1:15" ht="14.7" customHeight="1">
      <c r="A24" s="44"/>
      <c r="F24" s="300"/>
      <c r="G24" s="300"/>
      <c r="H24" s="300"/>
      <c r="I24" s="300"/>
      <c r="J24" s="300"/>
      <c r="K24" s="300"/>
      <c r="L24" s="300"/>
      <c r="M24" s="300"/>
      <c r="N24" s="300"/>
      <c r="O24" s="300"/>
    </row>
    <row r="25" spans="1:15" ht="14.7" customHeight="1">
      <c r="A25" s="44"/>
      <c r="F25" s="300"/>
      <c r="G25" s="300"/>
      <c r="H25" s="300"/>
      <c r="I25" s="300"/>
      <c r="J25" s="300"/>
      <c r="K25" s="300"/>
      <c r="L25" s="300"/>
      <c r="M25" s="300"/>
      <c r="N25" s="300"/>
      <c r="O25" s="300"/>
    </row>
    <row r="26" spans="1:15" ht="14.7" customHeight="1">
      <c r="F26" s="300"/>
      <c r="G26" s="300"/>
      <c r="H26" s="300"/>
      <c r="I26" s="300"/>
      <c r="J26" s="300"/>
      <c r="K26" s="300"/>
      <c r="L26" s="300"/>
      <c r="M26" s="300"/>
      <c r="N26" s="300"/>
      <c r="O26" s="300"/>
    </row>
    <row r="27" spans="1:15" ht="14.7" customHeight="1">
      <c r="F27" s="300"/>
      <c r="G27" s="300"/>
      <c r="H27" s="300"/>
      <c r="I27" s="300"/>
      <c r="J27" s="300"/>
      <c r="K27" s="300"/>
      <c r="L27" s="300"/>
      <c r="M27" s="300"/>
      <c r="N27" s="300"/>
      <c r="O27" s="300"/>
    </row>
    <row r="28" spans="1:15" ht="14.7" customHeight="1">
      <c r="F28" s="300"/>
      <c r="G28" s="300"/>
      <c r="H28" s="300"/>
      <c r="I28" s="300"/>
      <c r="J28" s="300"/>
      <c r="K28" s="300"/>
      <c r="L28" s="300"/>
      <c r="M28" s="300"/>
      <c r="N28" s="300"/>
      <c r="O28" s="300"/>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J219"/>
  <sheetViews>
    <sheetView showGridLines="0" zoomScale="80" zoomScaleNormal="80" workbookViewId="0"/>
  </sheetViews>
  <sheetFormatPr defaultColWidth="9.109375" defaultRowHeight="14.7" customHeight="1"/>
  <cols>
    <col min="1" max="1" width="55.6640625" style="32" customWidth="1"/>
    <col min="2" max="2" width="13.6640625" style="40" customWidth="1"/>
    <col min="3" max="6" width="13.6640625" style="304" customWidth="1"/>
    <col min="7" max="7" width="13.6640625" style="32" customWidth="1"/>
    <col min="8" max="8" width="13.6640625" style="35" customWidth="1"/>
    <col min="9" max="10" width="13.6640625" style="11" customWidth="1"/>
    <col min="11" max="16384" width="9.109375" style="11"/>
  </cols>
  <sheetData>
    <row r="1" spans="1:10" ht="39.9" customHeight="1">
      <c r="A1" s="84" t="s">
        <v>86</v>
      </c>
    </row>
    <row r="2" spans="1:10" ht="39.9" customHeight="1" thickBot="1">
      <c r="A2" s="606" t="s">
        <v>468</v>
      </c>
      <c r="B2" s="606"/>
      <c r="C2" s="606"/>
      <c r="D2" s="606"/>
      <c r="E2" s="606"/>
      <c r="F2" s="606"/>
      <c r="G2" s="305"/>
      <c r="H2" s="82"/>
      <c r="I2" s="83"/>
      <c r="J2" s="83"/>
    </row>
    <row r="3" spans="1:10" ht="14.7" customHeight="1">
      <c r="A3" s="31"/>
      <c r="B3" s="42"/>
      <c r="C3" s="31"/>
      <c r="D3" s="31"/>
      <c r="E3" s="31"/>
      <c r="F3" s="31"/>
      <c r="G3" s="306"/>
      <c r="H3" s="18"/>
    </row>
    <row r="4" spans="1:10" ht="14.7" customHeight="1">
      <c r="A4" s="55" t="s">
        <v>122</v>
      </c>
      <c r="B4" s="56"/>
      <c r="E4" s="32"/>
      <c r="F4" s="32"/>
      <c r="H4" s="11"/>
    </row>
    <row r="5" spans="1:10" ht="13.2">
      <c r="A5" s="57"/>
      <c r="B5" s="58"/>
      <c r="C5" s="57" t="s">
        <v>408</v>
      </c>
      <c r="D5" s="57" t="s">
        <v>241</v>
      </c>
      <c r="E5" s="80" t="s">
        <v>2</v>
      </c>
      <c r="F5" s="80" t="s">
        <v>3</v>
      </c>
      <c r="H5" s="11"/>
    </row>
    <row r="6" spans="1:10" ht="14.7" customHeight="1">
      <c r="A6" s="60" t="s">
        <v>48</v>
      </c>
      <c r="B6" s="61" t="s">
        <v>53</v>
      </c>
      <c r="C6" s="307">
        <v>393.4</v>
      </c>
      <c r="D6" s="308">
        <v>325.7</v>
      </c>
      <c r="E6" s="309">
        <v>67.7</v>
      </c>
      <c r="F6" s="310">
        <v>0.20799999999999999</v>
      </c>
      <c r="H6" s="11"/>
    </row>
    <row r="7" spans="1:10" ht="14.7" customHeight="1">
      <c r="A7" s="64" t="s">
        <v>227</v>
      </c>
      <c r="B7" s="65" t="s">
        <v>53</v>
      </c>
      <c r="C7" s="311">
        <v>87.9</v>
      </c>
      <c r="D7" s="312">
        <v>62.1</v>
      </c>
      <c r="E7" s="313">
        <v>25.8</v>
      </c>
      <c r="F7" s="314">
        <v>0.41499999999999998</v>
      </c>
      <c r="H7" s="11"/>
    </row>
    <row r="8" spans="1:10" ht="14.7" customHeight="1">
      <c r="A8" s="64" t="s">
        <v>116</v>
      </c>
      <c r="B8" s="65" t="s">
        <v>53</v>
      </c>
      <c r="C8" s="311">
        <v>91.9</v>
      </c>
      <c r="D8" s="312">
        <v>77.5</v>
      </c>
      <c r="E8" s="313">
        <v>14.4</v>
      </c>
      <c r="F8" s="314">
        <v>0.186</v>
      </c>
      <c r="H8" s="11"/>
    </row>
    <row r="9" spans="1:10" ht="14.7" customHeight="1">
      <c r="A9" s="162" t="s">
        <v>112</v>
      </c>
      <c r="B9" s="65" t="s">
        <v>53</v>
      </c>
      <c r="C9" s="311">
        <v>59.3</v>
      </c>
      <c r="D9" s="312">
        <v>52.2</v>
      </c>
      <c r="E9" s="313">
        <v>7.1</v>
      </c>
      <c r="F9" s="314">
        <v>0.13600000000000001</v>
      </c>
      <c r="H9" s="11"/>
    </row>
    <row r="10" spans="1:10" ht="14.7" customHeight="1">
      <c r="A10" s="162" t="s">
        <v>114</v>
      </c>
      <c r="B10" s="65" t="s">
        <v>53</v>
      </c>
      <c r="C10" s="311">
        <v>19.399999999999999</v>
      </c>
      <c r="D10" s="312">
        <v>14.4</v>
      </c>
      <c r="E10" s="313">
        <v>5</v>
      </c>
      <c r="F10" s="314">
        <v>0.34699999999999998</v>
      </c>
      <c r="H10" s="11"/>
    </row>
    <row r="11" spans="1:10" ht="14.7" customHeight="1">
      <c r="A11" s="162" t="s">
        <v>113</v>
      </c>
      <c r="B11" s="65" t="s">
        <v>53</v>
      </c>
      <c r="C11" s="311">
        <v>8.1</v>
      </c>
      <c r="D11" s="312">
        <v>4.5</v>
      </c>
      <c r="E11" s="313">
        <v>3.6</v>
      </c>
      <c r="F11" s="314">
        <v>0.8</v>
      </c>
      <c r="H11" s="11"/>
    </row>
    <row r="12" spans="1:10" ht="14.7" customHeight="1">
      <c r="A12" s="162" t="s">
        <v>111</v>
      </c>
      <c r="B12" s="65" t="s">
        <v>53</v>
      </c>
      <c r="C12" s="311">
        <v>4.0999999999999996</v>
      </c>
      <c r="D12" s="312">
        <v>7.3</v>
      </c>
      <c r="E12" s="313">
        <v>-3.2</v>
      </c>
      <c r="F12" s="314">
        <v>-0.438</v>
      </c>
      <c r="H12" s="11"/>
    </row>
    <row r="13" spans="1:10" ht="14.7" customHeight="1">
      <c r="A13" s="162" t="s">
        <v>115</v>
      </c>
      <c r="B13" s="65" t="s">
        <v>53</v>
      </c>
      <c r="C13" s="311">
        <v>1</v>
      </c>
      <c r="D13" s="312">
        <v>-0.9</v>
      </c>
      <c r="E13" s="313">
        <v>1.9</v>
      </c>
      <c r="F13" s="314" t="s">
        <v>25</v>
      </c>
      <c r="H13" s="11"/>
    </row>
    <row r="14" spans="1:10" ht="14.7" customHeight="1">
      <c r="A14" s="64" t="s">
        <v>120</v>
      </c>
      <c r="B14" s="65" t="s">
        <v>5</v>
      </c>
      <c r="C14" s="315">
        <v>0.23100000000000001</v>
      </c>
      <c r="D14" s="316">
        <v>0.22800000000000001</v>
      </c>
      <c r="E14" s="313" t="s">
        <v>25</v>
      </c>
      <c r="F14" s="314" t="s">
        <v>402</v>
      </c>
      <c r="H14" s="11"/>
    </row>
    <row r="15" spans="1:10" ht="14.7" customHeight="1">
      <c r="A15" s="64" t="s">
        <v>228</v>
      </c>
      <c r="B15" s="65" t="s">
        <v>53</v>
      </c>
      <c r="C15" s="311">
        <v>51.3</v>
      </c>
      <c r="D15" s="312">
        <v>30.6</v>
      </c>
      <c r="E15" s="313">
        <v>20.7</v>
      </c>
      <c r="F15" s="314">
        <v>0.67600000000000005</v>
      </c>
      <c r="H15" s="11"/>
    </row>
    <row r="16" spans="1:10" ht="14.7" customHeight="1">
      <c r="A16" s="64" t="s">
        <v>117</v>
      </c>
      <c r="B16" s="65" t="s">
        <v>53</v>
      </c>
      <c r="C16" s="311">
        <v>61.3</v>
      </c>
      <c r="D16" s="312">
        <v>47.8</v>
      </c>
      <c r="E16" s="313">
        <v>13.5</v>
      </c>
      <c r="F16" s="314">
        <v>0.28199999999999997</v>
      </c>
      <c r="G16" s="317"/>
      <c r="H16" s="11"/>
    </row>
    <row r="17" spans="1:8" ht="14.7" customHeight="1">
      <c r="A17" s="64" t="s">
        <v>84</v>
      </c>
      <c r="B17" s="65" t="s">
        <v>53</v>
      </c>
      <c r="C17" s="311">
        <v>37.1</v>
      </c>
      <c r="D17" s="312">
        <v>22.1</v>
      </c>
      <c r="E17" s="313">
        <v>15</v>
      </c>
      <c r="F17" s="314">
        <v>0.67900000000000005</v>
      </c>
      <c r="H17" s="11"/>
    </row>
    <row r="18" spans="1:8" ht="14.7" customHeight="1">
      <c r="A18" s="64" t="s">
        <v>206</v>
      </c>
      <c r="B18" s="65" t="s">
        <v>53</v>
      </c>
      <c r="C18" s="311">
        <v>45.5</v>
      </c>
      <c r="D18" s="312">
        <v>42.4</v>
      </c>
      <c r="E18" s="313">
        <v>3.1</v>
      </c>
      <c r="F18" s="314">
        <v>7.2999999999999995E-2</v>
      </c>
      <c r="H18" s="11"/>
    </row>
    <row r="19" spans="1:8" ht="14.7" customHeight="1">
      <c r="A19" s="64" t="s">
        <v>119</v>
      </c>
      <c r="B19" s="65" t="s">
        <v>53</v>
      </c>
      <c r="C19" s="311">
        <v>28.2</v>
      </c>
      <c r="D19" s="312">
        <v>62.4</v>
      </c>
      <c r="E19" s="313">
        <v>-34.200000000000003</v>
      </c>
      <c r="F19" s="314">
        <v>-0.54800000000000004</v>
      </c>
      <c r="H19" s="11"/>
    </row>
    <row r="20" spans="1:8" ht="14.7" customHeight="1">
      <c r="A20" s="64" t="s">
        <v>207</v>
      </c>
      <c r="B20" s="65" t="s">
        <v>53</v>
      </c>
      <c r="C20" s="311">
        <v>84.5</v>
      </c>
      <c r="D20" s="312">
        <v>60.2</v>
      </c>
      <c r="E20" s="313">
        <v>24.3</v>
      </c>
      <c r="F20" s="314">
        <v>0.40400000000000003</v>
      </c>
      <c r="H20" s="11"/>
    </row>
    <row r="21" spans="1:8" ht="14.7" customHeight="1">
      <c r="A21" s="64" t="s">
        <v>229</v>
      </c>
      <c r="B21" s="65" t="s">
        <v>53</v>
      </c>
      <c r="C21" s="311">
        <v>28.5</v>
      </c>
      <c r="D21" s="312">
        <v>16</v>
      </c>
      <c r="E21" s="313">
        <v>12.5</v>
      </c>
      <c r="F21" s="314">
        <v>0.78100000000000003</v>
      </c>
      <c r="H21" s="11"/>
    </row>
    <row r="22" spans="1:8" ht="14.7" customHeight="1">
      <c r="A22" s="64" t="s">
        <v>208</v>
      </c>
      <c r="B22" s="65" t="s">
        <v>5</v>
      </c>
      <c r="C22" s="315">
        <v>0.115</v>
      </c>
      <c r="D22" s="316">
        <v>4.8000000000000001E-2</v>
      </c>
      <c r="E22" s="313" t="s">
        <v>25</v>
      </c>
      <c r="F22" s="314" t="s">
        <v>403</v>
      </c>
      <c r="H22" s="11"/>
    </row>
    <row r="23" spans="1:8" ht="14.7" customHeight="1">
      <c r="A23" s="64" t="s">
        <v>203</v>
      </c>
      <c r="B23" s="65" t="s">
        <v>5</v>
      </c>
      <c r="C23" s="315">
        <v>8.1000000000000003E-2</v>
      </c>
      <c r="D23" s="316">
        <v>8.6999999999999994E-2</v>
      </c>
      <c r="E23" s="313" t="s">
        <v>25</v>
      </c>
      <c r="F23" s="314" t="s">
        <v>404</v>
      </c>
      <c r="H23" s="11"/>
    </row>
    <row r="24" spans="1:8" ht="14.7" customHeight="1">
      <c r="A24" s="64" t="s">
        <v>209</v>
      </c>
      <c r="B24" s="65" t="s">
        <v>5</v>
      </c>
      <c r="C24" s="315">
        <v>9.9000000000000005E-2</v>
      </c>
      <c r="D24" s="316">
        <v>0.04</v>
      </c>
      <c r="E24" s="313" t="s">
        <v>25</v>
      </c>
      <c r="F24" s="314" t="s">
        <v>405</v>
      </c>
      <c r="H24" s="11"/>
    </row>
    <row r="25" spans="1:8" ht="14.7" customHeight="1">
      <c r="A25" s="64" t="s">
        <v>210</v>
      </c>
      <c r="B25" s="65" t="s">
        <v>5</v>
      </c>
      <c r="C25" s="315">
        <v>7.6999999999999999E-2</v>
      </c>
      <c r="D25" s="316">
        <v>6.4000000000000001E-2</v>
      </c>
      <c r="E25" s="313" t="s">
        <v>25</v>
      </c>
      <c r="F25" s="314" t="s">
        <v>406</v>
      </c>
      <c r="H25" s="11"/>
    </row>
    <row r="26" spans="1:8" ht="14.7" customHeight="1">
      <c r="A26" s="64" t="s">
        <v>83</v>
      </c>
      <c r="B26" s="65" t="s">
        <v>85</v>
      </c>
      <c r="C26" s="318">
        <v>0.49</v>
      </c>
      <c r="D26" s="319">
        <v>0.27</v>
      </c>
      <c r="E26" s="320">
        <v>0.22</v>
      </c>
      <c r="F26" s="314">
        <v>0.81499999999999995</v>
      </c>
      <c r="H26" s="11"/>
    </row>
    <row r="27" spans="1:8" ht="13.2">
      <c r="A27" s="57"/>
      <c r="B27" s="58"/>
      <c r="C27" s="57" t="s">
        <v>407</v>
      </c>
      <c r="D27" s="57" t="s">
        <v>4</v>
      </c>
      <c r="E27" s="80" t="s">
        <v>2</v>
      </c>
      <c r="F27" s="80" t="s">
        <v>26</v>
      </c>
      <c r="H27" s="11"/>
    </row>
    <row r="28" spans="1:8" ht="14.7" customHeight="1">
      <c r="A28" s="70" t="s">
        <v>108</v>
      </c>
      <c r="B28" s="71" t="s">
        <v>53</v>
      </c>
      <c r="C28" s="321">
        <v>4050</v>
      </c>
      <c r="D28" s="322">
        <v>3969.3</v>
      </c>
      <c r="E28" s="309">
        <v>80.7</v>
      </c>
      <c r="F28" s="310">
        <v>0.02</v>
      </c>
      <c r="H28" s="11"/>
    </row>
    <row r="29" spans="1:8" ht="14.7" customHeight="1">
      <c r="A29" s="74" t="s">
        <v>109</v>
      </c>
      <c r="B29" s="75" t="s">
        <v>53</v>
      </c>
      <c r="C29" s="323">
        <v>1857.9</v>
      </c>
      <c r="D29" s="324">
        <v>1843.8</v>
      </c>
      <c r="E29" s="313">
        <v>14.1</v>
      </c>
      <c r="F29" s="314">
        <v>8.0000000000000002E-3</v>
      </c>
      <c r="H29" s="11"/>
    </row>
    <row r="30" spans="1:8" ht="14.7" customHeight="1">
      <c r="A30" s="74" t="s">
        <v>118</v>
      </c>
      <c r="B30" s="75" t="s">
        <v>53</v>
      </c>
      <c r="C30" s="323">
        <v>579.29999999999995</v>
      </c>
      <c r="D30" s="324">
        <v>600.29999999999995</v>
      </c>
      <c r="E30" s="313">
        <v>-21</v>
      </c>
      <c r="F30" s="314">
        <v>-3.5000000000000003E-2</v>
      </c>
      <c r="H30" s="11"/>
    </row>
    <row r="31" spans="1:8" ht="14.7" customHeight="1">
      <c r="A31" s="74" t="s">
        <v>369</v>
      </c>
      <c r="B31" s="75" t="s">
        <v>53</v>
      </c>
      <c r="C31" s="323">
        <v>96.8</v>
      </c>
      <c r="D31" s="324">
        <v>57.9</v>
      </c>
      <c r="E31" s="313">
        <v>38.9</v>
      </c>
      <c r="F31" s="314">
        <v>0.67200000000000004</v>
      </c>
      <c r="H31" s="11"/>
    </row>
    <row r="32" spans="1:8" ht="14.7" customHeight="1">
      <c r="A32" s="60" t="s">
        <v>212</v>
      </c>
      <c r="B32" s="75" t="s">
        <v>110</v>
      </c>
      <c r="C32" s="325">
        <v>1.59</v>
      </c>
      <c r="D32" s="326">
        <v>1.78</v>
      </c>
      <c r="E32" s="320">
        <v>-0.19</v>
      </c>
      <c r="F32" s="314">
        <v>-0.107</v>
      </c>
      <c r="H32" s="11"/>
    </row>
    <row r="33" spans="1:8" ht="14.7" customHeight="1">
      <c r="A33" s="60" t="s">
        <v>213</v>
      </c>
      <c r="B33" s="75" t="s">
        <v>110</v>
      </c>
      <c r="C33" s="222">
        <v>1.89</v>
      </c>
      <c r="D33" s="327">
        <v>2.06</v>
      </c>
      <c r="E33" s="320">
        <v>-0.17</v>
      </c>
      <c r="F33" s="314">
        <v>-8.3000000000000004E-2</v>
      </c>
      <c r="H33" s="11"/>
    </row>
    <row r="34" spans="1:8" ht="14.7" customHeight="1">
      <c r="A34" s="64" t="s">
        <v>455</v>
      </c>
      <c r="B34" s="75" t="s">
        <v>5</v>
      </c>
      <c r="C34" s="328">
        <v>0.58099999999999996</v>
      </c>
      <c r="D34" s="329">
        <v>0.52100000000000002</v>
      </c>
      <c r="E34" s="313" t="s">
        <v>25</v>
      </c>
      <c r="F34" s="314" t="s">
        <v>415</v>
      </c>
      <c r="H34" s="11"/>
    </row>
    <row r="35" spans="1:8" ht="14.7" customHeight="1">
      <c r="E35" s="32"/>
      <c r="F35" s="32"/>
      <c r="H35" s="11"/>
    </row>
    <row r="37" spans="1:8" ht="14.7" customHeight="1">
      <c r="A37" s="605" t="s">
        <v>378</v>
      </c>
      <c r="B37" s="605"/>
      <c r="C37" s="605"/>
      <c r="D37" s="605"/>
      <c r="E37" s="605"/>
      <c r="F37" s="605"/>
    </row>
    <row r="38" spans="1:8" ht="13.2">
      <c r="A38" s="57"/>
      <c r="B38" s="59"/>
      <c r="C38" s="57" t="s">
        <v>408</v>
      </c>
      <c r="D38" s="57" t="s">
        <v>241</v>
      </c>
      <c r="E38" s="80" t="s">
        <v>2</v>
      </c>
      <c r="F38" s="80" t="s">
        <v>3</v>
      </c>
    </row>
    <row r="39" spans="1:8" ht="14.7" customHeight="1">
      <c r="A39" s="70" t="s">
        <v>111</v>
      </c>
      <c r="B39" s="86"/>
      <c r="C39" s="321">
        <v>184.3</v>
      </c>
      <c r="D39" s="322">
        <v>161.1</v>
      </c>
      <c r="E39" s="330">
        <v>23.2</v>
      </c>
      <c r="F39" s="331">
        <v>0.14399999999999999</v>
      </c>
    </row>
    <row r="40" spans="1:8" ht="14.7" customHeight="1">
      <c r="A40" s="74" t="s">
        <v>112</v>
      </c>
      <c r="B40" s="79"/>
      <c r="C40" s="323">
        <v>146.30000000000001</v>
      </c>
      <c r="D40" s="324">
        <v>128.1</v>
      </c>
      <c r="E40" s="332">
        <v>18.2</v>
      </c>
      <c r="F40" s="333">
        <v>0.14199999999999999</v>
      </c>
    </row>
    <row r="41" spans="1:8" ht="14.7" customHeight="1">
      <c r="A41" s="74" t="s">
        <v>113</v>
      </c>
      <c r="B41" s="79"/>
      <c r="C41" s="323">
        <v>29.7</v>
      </c>
      <c r="D41" s="324">
        <v>16.2</v>
      </c>
      <c r="E41" s="332">
        <v>13.5</v>
      </c>
      <c r="F41" s="333">
        <v>0.83299999999999996</v>
      </c>
    </row>
    <row r="42" spans="1:8" ht="14.7" customHeight="1">
      <c r="A42" s="74" t="s">
        <v>114</v>
      </c>
      <c r="B42" s="79"/>
      <c r="C42" s="323">
        <v>33.1</v>
      </c>
      <c r="D42" s="324">
        <v>22.5</v>
      </c>
      <c r="E42" s="332">
        <v>10.6</v>
      </c>
      <c r="F42" s="333">
        <v>0.47099999999999997</v>
      </c>
    </row>
    <row r="43" spans="1:8" ht="14.7" customHeight="1" thickBot="1">
      <c r="A43" s="91" t="s">
        <v>115</v>
      </c>
      <c r="B43" s="92"/>
      <c r="C43" s="334">
        <v>0</v>
      </c>
      <c r="D43" s="335">
        <v>-2.2000000000000002</v>
      </c>
      <c r="E43" s="336">
        <v>2.2000000000000002</v>
      </c>
      <c r="F43" s="337">
        <v>-1</v>
      </c>
    </row>
    <row r="44" spans="1:8" ht="14.7" customHeight="1" thickBot="1">
      <c r="A44" s="97" t="s">
        <v>48</v>
      </c>
      <c r="B44" s="98"/>
      <c r="C44" s="338">
        <v>393.4</v>
      </c>
      <c r="D44" s="339">
        <v>325.7</v>
      </c>
      <c r="E44" s="340">
        <v>67.7</v>
      </c>
      <c r="F44" s="341">
        <v>0.20799999999999999</v>
      </c>
    </row>
    <row r="45" spans="1:8" ht="14.7" customHeight="1">
      <c r="A45" s="371" t="s">
        <v>416</v>
      </c>
    </row>
    <row r="46" spans="1:8" ht="14.7" customHeight="1">
      <c r="A46" s="103"/>
    </row>
    <row r="48" spans="1:8" ht="14.7" customHeight="1">
      <c r="A48" s="605" t="s">
        <v>379</v>
      </c>
      <c r="B48" s="605"/>
      <c r="C48" s="605"/>
      <c r="D48" s="605"/>
      <c r="E48" s="605"/>
      <c r="F48" s="605"/>
    </row>
    <row r="49" spans="1:8" ht="26.4">
      <c r="A49" s="57"/>
      <c r="B49" s="59"/>
      <c r="C49" s="57" t="s">
        <v>408</v>
      </c>
      <c r="D49" s="57" t="s">
        <v>241</v>
      </c>
      <c r="E49" s="80" t="s">
        <v>2</v>
      </c>
      <c r="F49" s="80" t="s">
        <v>3</v>
      </c>
      <c r="G49" s="80" t="s">
        <v>409</v>
      </c>
      <c r="H49" s="20"/>
    </row>
    <row r="50" spans="1:8" ht="14.7" customHeight="1">
      <c r="A50" s="74" t="s">
        <v>22</v>
      </c>
      <c r="B50" s="79"/>
      <c r="C50" s="323">
        <v>353.9</v>
      </c>
      <c r="D50" s="324">
        <v>300.7</v>
      </c>
      <c r="E50" s="332">
        <v>53.2</v>
      </c>
      <c r="F50" s="333">
        <v>0.17699999999999999</v>
      </c>
      <c r="G50" s="333">
        <v>0.9</v>
      </c>
      <c r="H50" s="21"/>
    </row>
    <row r="51" spans="1:8" ht="14.7" customHeight="1" thickBot="1">
      <c r="A51" s="91" t="s">
        <v>100</v>
      </c>
      <c r="B51" s="92"/>
      <c r="C51" s="334">
        <v>39.5</v>
      </c>
      <c r="D51" s="335">
        <v>25</v>
      </c>
      <c r="E51" s="336">
        <v>14.5</v>
      </c>
      <c r="F51" s="337">
        <v>0.57999999999999996</v>
      </c>
      <c r="G51" s="337">
        <v>0.1</v>
      </c>
      <c r="H51" s="21"/>
    </row>
    <row r="52" spans="1:8" ht="14.7" customHeight="1" thickBot="1">
      <c r="A52" s="97" t="s">
        <v>48</v>
      </c>
      <c r="B52" s="98"/>
      <c r="C52" s="338">
        <v>393.4</v>
      </c>
      <c r="D52" s="339">
        <v>325.7</v>
      </c>
      <c r="E52" s="340">
        <v>67.7</v>
      </c>
      <c r="F52" s="341">
        <v>0.20799999999999999</v>
      </c>
      <c r="G52" s="341">
        <v>1</v>
      </c>
      <c r="H52" s="19"/>
    </row>
    <row r="55" spans="1:8" ht="14.7" customHeight="1">
      <c r="A55" s="605" t="s">
        <v>380</v>
      </c>
      <c r="B55" s="605"/>
      <c r="C55" s="605"/>
      <c r="D55" s="605"/>
      <c r="E55" s="605"/>
      <c r="F55" s="605"/>
    </row>
    <row r="56" spans="1:8" ht="26.4">
      <c r="A56" s="57"/>
      <c r="B56" s="59"/>
      <c r="C56" s="57" t="s">
        <v>408</v>
      </c>
      <c r="D56" s="57" t="s">
        <v>241</v>
      </c>
      <c r="E56" s="80" t="s">
        <v>2</v>
      </c>
      <c r="F56" s="80" t="s">
        <v>3</v>
      </c>
      <c r="G56" s="342" t="s">
        <v>409</v>
      </c>
      <c r="H56" s="20"/>
    </row>
    <row r="57" spans="1:8" ht="14.7" customHeight="1">
      <c r="A57" s="74" t="s">
        <v>123</v>
      </c>
      <c r="B57" s="79"/>
      <c r="C57" s="323">
        <v>275.2</v>
      </c>
      <c r="D57" s="324">
        <v>229.7</v>
      </c>
      <c r="E57" s="332">
        <v>45.5</v>
      </c>
      <c r="F57" s="333">
        <v>0.19800000000000001</v>
      </c>
      <c r="G57" s="333">
        <v>0.7</v>
      </c>
      <c r="H57" s="21"/>
    </row>
    <row r="58" spans="1:8" ht="14.7" customHeight="1">
      <c r="A58" s="74" t="s">
        <v>124</v>
      </c>
      <c r="B58" s="79"/>
      <c r="C58" s="323">
        <v>101.8</v>
      </c>
      <c r="D58" s="324">
        <v>87.4</v>
      </c>
      <c r="E58" s="332">
        <v>14.4</v>
      </c>
      <c r="F58" s="333">
        <v>0.16500000000000001</v>
      </c>
      <c r="G58" s="333">
        <v>0.25900000000000001</v>
      </c>
      <c r="H58" s="21"/>
    </row>
    <row r="59" spans="1:8" ht="14.7" customHeight="1" thickBot="1">
      <c r="A59" s="91" t="s">
        <v>100</v>
      </c>
      <c r="B59" s="92"/>
      <c r="C59" s="334">
        <v>16.399999999999999</v>
      </c>
      <c r="D59" s="335">
        <v>8.6</v>
      </c>
      <c r="E59" s="336">
        <v>7.8</v>
      </c>
      <c r="F59" s="337">
        <v>0.90700000000000003</v>
      </c>
      <c r="G59" s="337">
        <v>4.2000000000000003E-2</v>
      </c>
      <c r="H59" s="21"/>
    </row>
    <row r="60" spans="1:8" ht="14.7" customHeight="1" thickBot="1">
      <c r="A60" s="97" t="s">
        <v>48</v>
      </c>
      <c r="B60" s="98"/>
      <c r="C60" s="338">
        <v>393.4</v>
      </c>
      <c r="D60" s="339">
        <v>325.7</v>
      </c>
      <c r="E60" s="340">
        <v>67.7</v>
      </c>
      <c r="F60" s="341">
        <v>0.20799999999999999</v>
      </c>
      <c r="G60" s="341">
        <v>1</v>
      </c>
      <c r="H60" s="19"/>
    </row>
    <row r="63" spans="1:8" ht="14.7" customHeight="1">
      <c r="A63" s="605" t="s">
        <v>381</v>
      </c>
      <c r="B63" s="605"/>
      <c r="C63" s="605"/>
      <c r="D63" s="605"/>
      <c r="E63" s="605"/>
      <c r="F63" s="605"/>
    </row>
    <row r="64" spans="1:8" ht="13.2">
      <c r="A64" s="57"/>
      <c r="B64" s="59"/>
      <c r="C64" s="57" t="s">
        <v>408</v>
      </c>
      <c r="D64" s="57" t="s">
        <v>241</v>
      </c>
      <c r="E64" s="80" t="s">
        <v>2</v>
      </c>
      <c r="F64" s="80" t="s">
        <v>3</v>
      </c>
    </row>
    <row r="65" spans="1:8" s="36" customFormat="1" ht="14.7" customHeight="1">
      <c r="A65" s="104" t="s">
        <v>125</v>
      </c>
      <c r="B65" s="105"/>
      <c r="C65" s="343">
        <v>264.7</v>
      </c>
      <c r="D65" s="344">
        <v>179.7</v>
      </c>
      <c r="E65" s="345">
        <v>85</v>
      </c>
      <c r="F65" s="346">
        <v>0.47299999999999998</v>
      </c>
      <c r="G65" s="347"/>
      <c r="H65" s="37"/>
    </row>
    <row r="66" spans="1:8" ht="14.7" customHeight="1">
      <c r="A66" s="74" t="s">
        <v>126</v>
      </c>
      <c r="B66" s="79"/>
      <c r="C66" s="323">
        <v>175.4</v>
      </c>
      <c r="D66" s="324">
        <v>107</v>
      </c>
      <c r="E66" s="332">
        <v>68.400000000000006</v>
      </c>
      <c r="F66" s="333">
        <v>0.63900000000000001</v>
      </c>
    </row>
    <row r="67" spans="1:8" ht="14.7" customHeight="1">
      <c r="A67" s="74" t="s">
        <v>126</v>
      </c>
      <c r="B67" s="79"/>
      <c r="C67" s="323">
        <v>87.8</v>
      </c>
      <c r="D67" s="324">
        <v>71.400000000000006</v>
      </c>
      <c r="E67" s="332">
        <v>16.399999999999999</v>
      </c>
      <c r="F67" s="333">
        <v>0.23</v>
      </c>
    </row>
    <row r="68" spans="1:8" ht="14.7" customHeight="1" thickBot="1">
      <c r="A68" s="91" t="s">
        <v>100</v>
      </c>
      <c r="B68" s="92"/>
      <c r="C68" s="334">
        <v>1.5</v>
      </c>
      <c r="D68" s="335">
        <v>1.3</v>
      </c>
      <c r="E68" s="336">
        <v>0.2</v>
      </c>
      <c r="F68" s="337">
        <v>0.154</v>
      </c>
    </row>
    <row r="69" spans="1:8" ht="14.7" customHeight="1">
      <c r="A69" s="104" t="s">
        <v>230</v>
      </c>
      <c r="B69" s="105"/>
      <c r="C69" s="343">
        <v>40.700000000000003</v>
      </c>
      <c r="D69" s="344">
        <v>38.4</v>
      </c>
      <c r="E69" s="345">
        <v>2.2999999999999998</v>
      </c>
      <c r="F69" s="346">
        <v>0.06</v>
      </c>
      <c r="G69" s="348"/>
      <c r="H69" s="11"/>
    </row>
    <row r="70" spans="1:8" ht="14.7" customHeight="1">
      <c r="A70" s="74" t="s">
        <v>127</v>
      </c>
      <c r="B70" s="79"/>
      <c r="C70" s="323">
        <v>25.4</v>
      </c>
      <c r="D70" s="324">
        <v>24.5</v>
      </c>
      <c r="E70" s="332">
        <v>0.9</v>
      </c>
      <c r="F70" s="333">
        <v>3.6999999999999998E-2</v>
      </c>
    </row>
    <row r="71" spans="1:8" ht="14.7" customHeight="1">
      <c r="A71" s="74" t="s">
        <v>128</v>
      </c>
      <c r="B71" s="79"/>
      <c r="C71" s="323">
        <v>5.5</v>
      </c>
      <c r="D71" s="324">
        <v>4.8</v>
      </c>
      <c r="E71" s="332">
        <v>0.7</v>
      </c>
      <c r="F71" s="333">
        <v>0.14599999999999999</v>
      </c>
    </row>
    <row r="72" spans="1:8" ht="14.7" customHeight="1" thickBot="1">
      <c r="A72" s="91" t="s">
        <v>100</v>
      </c>
      <c r="B72" s="92"/>
      <c r="C72" s="334">
        <v>9.8000000000000007</v>
      </c>
      <c r="D72" s="335">
        <v>9.1</v>
      </c>
      <c r="E72" s="336">
        <v>0.7</v>
      </c>
      <c r="F72" s="337">
        <v>7.6999999999999999E-2</v>
      </c>
    </row>
    <row r="73" spans="1:8" ht="14.7" customHeight="1">
      <c r="A73" s="104" t="s">
        <v>100</v>
      </c>
      <c r="B73" s="105"/>
      <c r="C73" s="343">
        <v>36.700000000000003</v>
      </c>
      <c r="D73" s="344">
        <v>76.900000000000006</v>
      </c>
      <c r="E73" s="345">
        <v>-40.200000000000003</v>
      </c>
      <c r="F73" s="346">
        <v>-0.52300000000000002</v>
      </c>
    </row>
    <row r="74" spans="1:8" ht="14.7" customHeight="1">
      <c r="A74" s="74" t="s">
        <v>129</v>
      </c>
      <c r="B74" s="79"/>
      <c r="C74" s="323">
        <v>29.4</v>
      </c>
      <c r="D74" s="324">
        <v>27.7</v>
      </c>
      <c r="E74" s="332">
        <v>1.7</v>
      </c>
      <c r="F74" s="333">
        <v>6.0999999999999999E-2</v>
      </c>
    </row>
    <row r="75" spans="1:8" ht="14.7" customHeight="1">
      <c r="A75" s="74" t="s">
        <v>130</v>
      </c>
      <c r="B75" s="79"/>
      <c r="C75" s="323">
        <v>0</v>
      </c>
      <c r="D75" s="324">
        <v>45.2</v>
      </c>
      <c r="E75" s="332">
        <v>-45.2</v>
      </c>
      <c r="F75" s="333">
        <v>-1</v>
      </c>
    </row>
    <row r="76" spans="1:8" ht="28.5" customHeight="1">
      <c r="A76" s="74" t="s">
        <v>131</v>
      </c>
      <c r="B76" s="79"/>
      <c r="C76" s="323">
        <v>1</v>
      </c>
      <c r="D76" s="324">
        <v>1.6</v>
      </c>
      <c r="E76" s="332">
        <v>-0.6</v>
      </c>
      <c r="F76" s="333">
        <v>-0.375</v>
      </c>
    </row>
    <row r="77" spans="1:8" ht="26.4">
      <c r="A77" s="74" t="s">
        <v>132</v>
      </c>
      <c r="B77" s="79"/>
      <c r="C77" s="323">
        <v>0.1</v>
      </c>
      <c r="D77" s="324">
        <v>0.3</v>
      </c>
      <c r="E77" s="332">
        <v>-0.2</v>
      </c>
      <c r="F77" s="333">
        <v>-0.66700000000000004</v>
      </c>
      <c r="H77" s="37"/>
    </row>
    <row r="78" spans="1:8" ht="14.7" customHeight="1" thickBot="1">
      <c r="A78" s="91" t="s">
        <v>133</v>
      </c>
      <c r="B78" s="92"/>
      <c r="C78" s="334">
        <v>6.2</v>
      </c>
      <c r="D78" s="335">
        <v>2.1</v>
      </c>
      <c r="E78" s="336">
        <v>4.0999999999999996</v>
      </c>
      <c r="F78" s="337">
        <v>1.952</v>
      </c>
    </row>
    <row r="79" spans="1:8" ht="14.7" customHeight="1" thickBot="1">
      <c r="A79" s="97" t="s">
        <v>134</v>
      </c>
      <c r="B79" s="98"/>
      <c r="C79" s="338">
        <v>342.1</v>
      </c>
      <c r="D79" s="339">
        <v>295</v>
      </c>
      <c r="E79" s="340">
        <v>47.1</v>
      </c>
      <c r="F79" s="341">
        <v>0.16</v>
      </c>
    </row>
    <row r="82" spans="1:8" ht="14.7" customHeight="1">
      <c r="A82" s="605" t="s">
        <v>382</v>
      </c>
      <c r="B82" s="605"/>
      <c r="C82" s="605"/>
      <c r="D82" s="605"/>
      <c r="E82" s="605"/>
      <c r="F82" s="605"/>
    </row>
    <row r="83" spans="1:8" ht="13.2">
      <c r="A83" s="57"/>
      <c r="B83" s="59"/>
      <c r="C83" s="57" t="s">
        <v>408</v>
      </c>
      <c r="D83" s="57" t="s">
        <v>241</v>
      </c>
      <c r="E83" s="80" t="s">
        <v>2</v>
      </c>
      <c r="F83" s="80" t="s">
        <v>3</v>
      </c>
      <c r="G83" s="349"/>
      <c r="H83" s="11"/>
    </row>
    <row r="84" spans="1:8" ht="14.7" customHeight="1">
      <c r="A84" s="70" t="s">
        <v>112</v>
      </c>
      <c r="B84" s="86"/>
      <c r="C84" s="321">
        <v>59.3</v>
      </c>
      <c r="D84" s="322">
        <v>52.2</v>
      </c>
      <c r="E84" s="330">
        <v>7.1</v>
      </c>
      <c r="F84" s="331">
        <v>0.13600000000000001</v>
      </c>
      <c r="G84" s="350"/>
      <c r="H84" s="11"/>
    </row>
    <row r="85" spans="1:8" ht="14.7" customHeight="1">
      <c r="A85" s="74" t="s">
        <v>114</v>
      </c>
      <c r="B85" s="79"/>
      <c r="C85" s="323">
        <v>19.399999999999999</v>
      </c>
      <c r="D85" s="324">
        <v>14.4</v>
      </c>
      <c r="E85" s="332">
        <v>5</v>
      </c>
      <c r="F85" s="333">
        <v>0.34699999999999998</v>
      </c>
      <c r="G85" s="351"/>
      <c r="H85" s="11"/>
    </row>
    <row r="86" spans="1:8" ht="14.7" customHeight="1">
      <c r="A86" s="74" t="s">
        <v>113</v>
      </c>
      <c r="B86" s="79"/>
      <c r="C86" s="323">
        <v>8.1</v>
      </c>
      <c r="D86" s="324">
        <v>4.5</v>
      </c>
      <c r="E86" s="332">
        <v>3.6</v>
      </c>
      <c r="F86" s="333">
        <v>0.8</v>
      </c>
      <c r="G86" s="351"/>
      <c r="H86" s="11"/>
    </row>
    <row r="87" spans="1:8" ht="14.7" customHeight="1">
      <c r="A87" s="74" t="s">
        <v>111</v>
      </c>
      <c r="B87" s="79"/>
      <c r="C87" s="323">
        <v>4.0999999999999996</v>
      </c>
      <c r="D87" s="324">
        <v>7.3</v>
      </c>
      <c r="E87" s="332">
        <v>-3.2</v>
      </c>
      <c r="F87" s="333">
        <v>-0.438</v>
      </c>
      <c r="G87" s="351"/>
      <c r="H87" s="11"/>
    </row>
    <row r="88" spans="1:8" ht="14.7" customHeight="1" thickBot="1">
      <c r="A88" s="91" t="s">
        <v>115</v>
      </c>
      <c r="B88" s="92"/>
      <c r="C88" s="334">
        <v>1</v>
      </c>
      <c r="D88" s="335">
        <v>-0.9</v>
      </c>
      <c r="E88" s="336">
        <v>1.9</v>
      </c>
      <c r="F88" s="337" t="s">
        <v>25</v>
      </c>
      <c r="G88" s="350"/>
      <c r="H88" s="11"/>
    </row>
    <row r="89" spans="1:8" ht="14.7" customHeight="1" thickBot="1">
      <c r="A89" s="97" t="s">
        <v>231</v>
      </c>
      <c r="B89" s="98"/>
      <c r="C89" s="338">
        <v>91.9</v>
      </c>
      <c r="D89" s="339">
        <v>77.5</v>
      </c>
      <c r="E89" s="340">
        <v>14.4</v>
      </c>
      <c r="F89" s="341">
        <v>0.186</v>
      </c>
      <c r="G89" s="352"/>
      <c r="H89" s="11"/>
    </row>
    <row r="90" spans="1:8" ht="14.7" customHeight="1">
      <c r="A90" s="371" t="s">
        <v>416</v>
      </c>
      <c r="G90" s="353"/>
      <c r="H90" s="11"/>
    </row>
    <row r="91" spans="1:8" ht="14.7" customHeight="1">
      <c r="A91" s="103"/>
      <c r="G91" s="353"/>
      <c r="H91" s="11"/>
    </row>
    <row r="92" spans="1:8" ht="14.7" customHeight="1">
      <c r="G92" s="353"/>
      <c r="H92" s="11"/>
    </row>
    <row r="93" spans="1:8" ht="14.7" customHeight="1">
      <c r="A93" s="605" t="s">
        <v>383</v>
      </c>
      <c r="B93" s="605"/>
      <c r="C93" s="605"/>
      <c r="D93" s="605"/>
      <c r="E93" s="605"/>
      <c r="F93" s="605"/>
      <c r="G93" s="353"/>
      <c r="H93" s="11"/>
    </row>
    <row r="94" spans="1:8" ht="13.2">
      <c r="A94" s="57"/>
      <c r="B94" s="59"/>
      <c r="C94" s="57" t="s">
        <v>408</v>
      </c>
      <c r="D94" s="57" t="s">
        <v>241</v>
      </c>
      <c r="E94" s="80" t="s">
        <v>2</v>
      </c>
      <c r="F94" s="80" t="s">
        <v>3</v>
      </c>
      <c r="G94" s="349"/>
      <c r="H94" s="11"/>
    </row>
    <row r="95" spans="1:8" ht="14.7" customHeight="1">
      <c r="A95" s="70" t="s">
        <v>135</v>
      </c>
      <c r="B95" s="86"/>
      <c r="C95" s="321">
        <v>65.8</v>
      </c>
      <c r="D95" s="322">
        <v>59.6</v>
      </c>
      <c r="E95" s="330">
        <v>6.2</v>
      </c>
      <c r="F95" s="331">
        <v>0.104</v>
      </c>
      <c r="G95" s="350"/>
      <c r="H95" s="11"/>
    </row>
    <row r="96" spans="1:8" ht="14.7" customHeight="1">
      <c r="A96" s="74" t="s">
        <v>136</v>
      </c>
      <c r="B96" s="79"/>
      <c r="C96" s="323">
        <v>3</v>
      </c>
      <c r="D96" s="324">
        <v>4.7</v>
      </c>
      <c r="E96" s="332">
        <v>-1.7</v>
      </c>
      <c r="F96" s="333">
        <v>-0.36199999999999999</v>
      </c>
      <c r="G96" s="351"/>
      <c r="H96" s="11"/>
    </row>
    <row r="97" spans="1:9" ht="14.7" customHeight="1" thickBot="1">
      <c r="A97" s="91" t="s">
        <v>100</v>
      </c>
      <c r="B97" s="92"/>
      <c r="C97" s="334">
        <v>23.1</v>
      </c>
      <c r="D97" s="335">
        <v>13.2</v>
      </c>
      <c r="E97" s="336">
        <v>9.9</v>
      </c>
      <c r="F97" s="337">
        <v>0.75</v>
      </c>
      <c r="G97" s="350"/>
      <c r="H97" s="11"/>
    </row>
    <row r="98" spans="1:9" ht="14.7" customHeight="1" thickBot="1">
      <c r="A98" s="97" t="s">
        <v>218</v>
      </c>
      <c r="B98" s="98"/>
      <c r="C98" s="338">
        <v>91.9</v>
      </c>
      <c r="D98" s="339">
        <v>77.5</v>
      </c>
      <c r="E98" s="340">
        <v>14.4</v>
      </c>
      <c r="F98" s="341">
        <v>0.186</v>
      </c>
      <c r="G98" s="352"/>
      <c r="H98" s="11"/>
    </row>
    <row r="101" spans="1:9" ht="14.7" customHeight="1">
      <c r="A101" s="605" t="s">
        <v>384</v>
      </c>
      <c r="B101" s="605"/>
      <c r="C101" s="605"/>
      <c r="D101" s="605"/>
      <c r="E101" s="605"/>
      <c r="F101" s="605"/>
    </row>
    <row r="102" spans="1:9" ht="13.2">
      <c r="A102" s="57"/>
      <c r="B102" s="59"/>
      <c r="C102" s="57" t="s">
        <v>408</v>
      </c>
      <c r="D102" s="57" t="s">
        <v>241</v>
      </c>
      <c r="E102" s="80" t="s">
        <v>2</v>
      </c>
      <c r="F102" s="80" t="s">
        <v>3</v>
      </c>
    </row>
    <row r="103" spans="1:9" ht="14.7" customHeight="1">
      <c r="A103" s="70" t="s">
        <v>112</v>
      </c>
      <c r="B103" s="86"/>
      <c r="C103" s="321">
        <v>38.9</v>
      </c>
      <c r="D103" s="322">
        <v>31</v>
      </c>
      <c r="E103" s="330">
        <v>7.9</v>
      </c>
      <c r="F103" s="331">
        <v>0.255</v>
      </c>
    </row>
    <row r="104" spans="1:9" ht="14.7" customHeight="1">
      <c r="A104" s="74" t="s">
        <v>114</v>
      </c>
      <c r="B104" s="79"/>
      <c r="C104" s="323">
        <v>14.9</v>
      </c>
      <c r="D104" s="324">
        <v>10.6</v>
      </c>
      <c r="E104" s="332">
        <v>4.3</v>
      </c>
      <c r="F104" s="333">
        <v>0.40600000000000003</v>
      </c>
    </row>
    <row r="105" spans="1:9" ht="14.7" customHeight="1">
      <c r="A105" s="74" t="s">
        <v>113</v>
      </c>
      <c r="B105" s="79"/>
      <c r="C105" s="323">
        <v>4.3</v>
      </c>
      <c r="D105" s="324">
        <v>1.6</v>
      </c>
      <c r="E105" s="332">
        <v>2.7</v>
      </c>
      <c r="F105" s="333">
        <v>1.6879999999999999</v>
      </c>
    </row>
    <row r="106" spans="1:9" ht="14.7" customHeight="1">
      <c r="A106" s="74" t="s">
        <v>111</v>
      </c>
      <c r="B106" s="79"/>
      <c r="C106" s="323">
        <v>3.6</v>
      </c>
      <c r="D106" s="324">
        <v>6.3</v>
      </c>
      <c r="E106" s="332">
        <v>-2.7</v>
      </c>
      <c r="F106" s="333">
        <v>-0.42899999999999999</v>
      </c>
    </row>
    <row r="107" spans="1:9" ht="14.7" customHeight="1" thickBot="1">
      <c r="A107" s="91" t="s">
        <v>148</v>
      </c>
      <c r="B107" s="92"/>
      <c r="C107" s="334">
        <v>-0.4</v>
      </c>
      <c r="D107" s="335">
        <v>-1.7</v>
      </c>
      <c r="E107" s="336">
        <v>1.3</v>
      </c>
      <c r="F107" s="337">
        <v>-0.76500000000000001</v>
      </c>
      <c r="H107" s="37"/>
    </row>
    <row r="108" spans="1:9" ht="14.7" customHeight="1" thickBot="1">
      <c r="A108" s="97" t="s">
        <v>220</v>
      </c>
      <c r="B108" s="98"/>
      <c r="C108" s="338">
        <v>61.3</v>
      </c>
      <c r="D108" s="339">
        <v>47.8</v>
      </c>
      <c r="E108" s="340">
        <v>13.5</v>
      </c>
      <c r="F108" s="341">
        <v>0.28199999999999997</v>
      </c>
      <c r="G108" s="352"/>
      <c r="H108" s="11"/>
    </row>
    <row r="109" spans="1:9" ht="14.7" customHeight="1">
      <c r="A109" s="121" t="s">
        <v>388</v>
      </c>
      <c r="B109" s="79"/>
      <c r="C109" s="354">
        <v>0.154</v>
      </c>
      <c r="D109" s="355">
        <v>0.14000000000000001</v>
      </c>
      <c r="E109" s="356" t="s">
        <v>25</v>
      </c>
      <c r="F109" s="356" t="s">
        <v>410</v>
      </c>
    </row>
    <row r="110" spans="1:9" ht="14.7" customHeight="1">
      <c r="A110" s="370" t="s">
        <v>416</v>
      </c>
    </row>
    <row r="111" spans="1:9" ht="14.7" customHeight="1">
      <c r="A111" s="125"/>
    </row>
    <row r="112" spans="1:9" ht="14.7" customHeight="1">
      <c r="A112" s="605" t="s">
        <v>385</v>
      </c>
      <c r="B112" s="605"/>
      <c r="C112" s="605"/>
      <c r="D112" s="605"/>
      <c r="E112" s="605"/>
      <c r="F112" s="605"/>
      <c r="I112" s="36"/>
    </row>
    <row r="113" spans="1:8" ht="13.2">
      <c r="A113" s="57"/>
      <c r="B113" s="59"/>
      <c r="C113" s="57" t="s">
        <v>408</v>
      </c>
      <c r="D113" s="57" t="s">
        <v>241</v>
      </c>
      <c r="E113" s="80" t="s">
        <v>2</v>
      </c>
      <c r="F113" s="80" t="s">
        <v>3</v>
      </c>
    </row>
    <row r="114" spans="1:8" ht="14.7" customHeight="1">
      <c r="A114" s="111" t="s">
        <v>112</v>
      </c>
      <c r="B114" s="86"/>
      <c r="C114" s="321">
        <v>19.8</v>
      </c>
      <c r="D114" s="322">
        <v>24.3</v>
      </c>
      <c r="E114" s="330">
        <v>-4.5</v>
      </c>
      <c r="F114" s="331">
        <v>-0.185</v>
      </c>
    </row>
    <row r="115" spans="1:8" ht="14.7" customHeight="1">
      <c r="A115" s="112" t="s">
        <v>152</v>
      </c>
      <c r="B115" s="79"/>
      <c r="C115" s="323">
        <v>9</v>
      </c>
      <c r="D115" s="324">
        <v>12.8</v>
      </c>
      <c r="E115" s="332">
        <v>-3.8</v>
      </c>
      <c r="F115" s="333">
        <v>-0.29699999999999999</v>
      </c>
    </row>
    <row r="116" spans="1:8" ht="14.7" customHeight="1">
      <c r="A116" s="112" t="s">
        <v>153</v>
      </c>
      <c r="B116" s="79"/>
      <c r="C116" s="323">
        <v>6.3</v>
      </c>
      <c r="D116" s="324">
        <v>3.8</v>
      </c>
      <c r="E116" s="332">
        <v>2.5</v>
      </c>
      <c r="F116" s="333">
        <v>0.65800000000000003</v>
      </c>
    </row>
    <row r="117" spans="1:8" ht="14.7" customHeight="1">
      <c r="A117" s="112" t="s">
        <v>154</v>
      </c>
      <c r="B117" s="79"/>
      <c r="C117" s="323">
        <v>2.2000000000000002</v>
      </c>
      <c r="D117" s="324">
        <v>5.4</v>
      </c>
      <c r="E117" s="332">
        <v>-3.2</v>
      </c>
      <c r="F117" s="333">
        <v>-0.59299999999999997</v>
      </c>
    </row>
    <row r="118" spans="1:8" ht="14.7" customHeight="1">
      <c r="A118" s="112" t="s">
        <v>155</v>
      </c>
      <c r="B118" s="79"/>
      <c r="C118" s="323">
        <v>1.1000000000000001</v>
      </c>
      <c r="D118" s="324">
        <v>1</v>
      </c>
      <c r="E118" s="332">
        <v>0.1</v>
      </c>
      <c r="F118" s="333">
        <v>0.1</v>
      </c>
    </row>
    <row r="119" spans="1:8" ht="14.7" customHeight="1">
      <c r="A119" s="112" t="s">
        <v>100</v>
      </c>
      <c r="B119" s="79"/>
      <c r="C119" s="323">
        <v>1.2</v>
      </c>
      <c r="D119" s="324">
        <v>1.3</v>
      </c>
      <c r="E119" s="332">
        <v>-0.1</v>
      </c>
      <c r="F119" s="333">
        <v>-7.6999999999999999E-2</v>
      </c>
    </row>
    <row r="120" spans="1:8" ht="14.7" customHeight="1">
      <c r="A120" s="111" t="s">
        <v>114</v>
      </c>
      <c r="B120" s="86"/>
      <c r="C120" s="321">
        <v>7.3</v>
      </c>
      <c r="D120" s="322">
        <v>35.299999999999997</v>
      </c>
      <c r="E120" s="330">
        <v>-28</v>
      </c>
      <c r="F120" s="331">
        <v>-0.79300000000000004</v>
      </c>
    </row>
    <row r="121" spans="1:8" ht="14.7" customHeight="1">
      <c r="A121" s="112" t="s">
        <v>149</v>
      </c>
      <c r="B121" s="79"/>
      <c r="C121" s="323">
        <v>0.6</v>
      </c>
      <c r="D121" s="324">
        <v>9.6</v>
      </c>
      <c r="E121" s="332">
        <v>-9</v>
      </c>
      <c r="F121" s="333">
        <v>-0.93799999999999994</v>
      </c>
    </row>
    <row r="122" spans="1:8" ht="14.7" customHeight="1">
      <c r="A122" s="112" t="s">
        <v>150</v>
      </c>
      <c r="B122" s="79"/>
      <c r="C122" s="323">
        <v>0.7</v>
      </c>
      <c r="D122" s="324">
        <v>11</v>
      </c>
      <c r="E122" s="332">
        <v>-10.3</v>
      </c>
      <c r="F122" s="333">
        <v>-0.93600000000000005</v>
      </c>
    </row>
    <row r="123" spans="1:8" ht="14.7" customHeight="1">
      <c r="A123" s="112" t="s">
        <v>151</v>
      </c>
      <c r="B123" s="79"/>
      <c r="C123" s="323">
        <v>4.4000000000000004</v>
      </c>
      <c r="D123" s="324">
        <v>14.7</v>
      </c>
      <c r="E123" s="332">
        <v>-10.3</v>
      </c>
      <c r="F123" s="333">
        <v>-0.70099999999999996</v>
      </c>
    </row>
    <row r="124" spans="1:8" ht="14.25" customHeight="1">
      <c r="A124" s="112" t="s">
        <v>100</v>
      </c>
      <c r="B124" s="79"/>
      <c r="C124" s="323">
        <v>1.6</v>
      </c>
      <c r="D124" s="324">
        <v>0</v>
      </c>
      <c r="E124" s="332">
        <v>1.6</v>
      </c>
      <c r="F124" s="333">
        <v>1</v>
      </c>
    </row>
    <row r="125" spans="1:8" ht="14.7" customHeight="1">
      <c r="A125" s="111" t="s">
        <v>111</v>
      </c>
      <c r="B125" s="86"/>
      <c r="C125" s="321">
        <v>0.3</v>
      </c>
      <c r="D125" s="322">
        <v>0.4</v>
      </c>
      <c r="E125" s="330">
        <v>-0.1</v>
      </c>
      <c r="F125" s="331">
        <v>-0.25</v>
      </c>
    </row>
    <row r="126" spans="1:8" ht="14.7" customHeight="1">
      <c r="A126" s="111" t="s">
        <v>113</v>
      </c>
      <c r="B126" s="86"/>
      <c r="C126" s="321">
        <v>0</v>
      </c>
      <c r="D126" s="322">
        <v>0.3</v>
      </c>
      <c r="E126" s="330">
        <v>-0.3</v>
      </c>
      <c r="F126" s="331">
        <v>-1</v>
      </c>
    </row>
    <row r="127" spans="1:8" ht="14.7" customHeight="1" thickBot="1">
      <c r="A127" s="113" t="s">
        <v>148</v>
      </c>
      <c r="B127" s="114"/>
      <c r="C127" s="357">
        <v>0.8</v>
      </c>
      <c r="D127" s="358">
        <v>2.1</v>
      </c>
      <c r="E127" s="359">
        <v>-1.3</v>
      </c>
      <c r="F127" s="360">
        <v>-0.61899999999999999</v>
      </c>
    </row>
    <row r="128" spans="1:8" ht="14.7" customHeight="1" thickBot="1">
      <c r="A128" s="97" t="s">
        <v>232</v>
      </c>
      <c r="B128" s="98"/>
      <c r="C128" s="338">
        <v>28.2</v>
      </c>
      <c r="D128" s="339">
        <v>62.4</v>
      </c>
      <c r="E128" s="340">
        <v>-34.200000000000003</v>
      </c>
      <c r="F128" s="341">
        <v>-0.54800000000000004</v>
      </c>
      <c r="G128" s="352"/>
      <c r="H128" s="11"/>
    </row>
    <row r="129" spans="1:8" ht="14.7" customHeight="1">
      <c r="A129" s="111" t="s">
        <v>156</v>
      </c>
      <c r="B129" s="86"/>
      <c r="C129" s="321">
        <v>-7.8</v>
      </c>
      <c r="D129" s="322">
        <v>-5.7</v>
      </c>
      <c r="E129" s="330">
        <v>-2.1</v>
      </c>
      <c r="F129" s="331">
        <v>0.36799999999999999</v>
      </c>
    </row>
    <row r="130" spans="1:8" ht="14.7" customHeight="1" thickBot="1">
      <c r="A130" s="111" t="s">
        <v>371</v>
      </c>
      <c r="B130" s="86"/>
      <c r="C130" s="321">
        <v>-5.8</v>
      </c>
      <c r="D130" s="322">
        <v>-4.9000000000000004</v>
      </c>
      <c r="E130" s="330">
        <v>-0.9</v>
      </c>
      <c r="F130" s="331">
        <v>0.184</v>
      </c>
    </row>
    <row r="131" spans="1:8" ht="27" thickBot="1">
      <c r="A131" s="115" t="s">
        <v>157</v>
      </c>
      <c r="B131" s="116"/>
      <c r="C131" s="361">
        <v>14.6</v>
      </c>
      <c r="D131" s="362">
        <v>51.8</v>
      </c>
      <c r="E131" s="363">
        <v>-37.200000000000003</v>
      </c>
      <c r="F131" s="364">
        <v>-0.71799999999999997</v>
      </c>
      <c r="G131" s="352"/>
      <c r="H131" s="11"/>
    </row>
    <row r="132" spans="1:8" ht="14.7" customHeight="1">
      <c r="A132" s="369" t="s">
        <v>416</v>
      </c>
      <c r="B132" s="117"/>
      <c r="C132" s="118"/>
      <c r="D132" s="118"/>
      <c r="E132" s="118"/>
      <c r="F132" s="118"/>
    </row>
    <row r="133" spans="1:8" s="12" customFormat="1" ht="14.7" customHeight="1">
      <c r="A133" s="369" t="s">
        <v>370</v>
      </c>
      <c r="B133" s="27"/>
      <c r="C133" s="33"/>
      <c r="D133" s="33"/>
      <c r="E133" s="33"/>
      <c r="F133" s="33"/>
      <c r="G133" s="33"/>
      <c r="H133" s="16"/>
    </row>
    <row r="134" spans="1:8" s="12" customFormat="1" ht="14.7" customHeight="1">
      <c r="A134" s="38"/>
      <c r="B134" s="27"/>
      <c r="C134" s="33"/>
      <c r="D134" s="33"/>
      <c r="E134" s="33"/>
      <c r="F134" s="33"/>
      <c r="G134" s="33"/>
      <c r="H134" s="16"/>
    </row>
    <row r="136" spans="1:8" ht="14.7" customHeight="1">
      <c r="A136" s="605" t="s">
        <v>386</v>
      </c>
      <c r="B136" s="605"/>
      <c r="C136" s="605"/>
      <c r="D136" s="605"/>
      <c r="E136" s="605"/>
      <c r="F136" s="605"/>
    </row>
    <row r="137" spans="1:8" ht="13.2">
      <c r="A137" s="57"/>
      <c r="B137" s="59"/>
      <c r="C137" s="57" t="s">
        <v>407</v>
      </c>
      <c r="D137" s="57" t="s">
        <v>4</v>
      </c>
      <c r="E137" s="80" t="s">
        <v>23</v>
      </c>
      <c r="F137" s="80" t="s">
        <v>26</v>
      </c>
    </row>
    <row r="138" spans="1:8" ht="14.7" customHeight="1">
      <c r="A138" s="111" t="s">
        <v>158</v>
      </c>
      <c r="B138" s="86"/>
      <c r="C138" s="321">
        <v>3019</v>
      </c>
      <c r="D138" s="322">
        <v>2982.7</v>
      </c>
      <c r="E138" s="330">
        <v>36.299999999999997</v>
      </c>
      <c r="F138" s="331">
        <v>1.2E-2</v>
      </c>
    </row>
    <row r="139" spans="1:8" ht="14.7" customHeight="1" thickBot="1">
      <c r="A139" s="113" t="s">
        <v>159</v>
      </c>
      <c r="B139" s="114"/>
      <c r="C139" s="357">
        <v>1031</v>
      </c>
      <c r="D139" s="358">
        <v>986.6</v>
      </c>
      <c r="E139" s="359">
        <v>44.4</v>
      </c>
      <c r="F139" s="360">
        <v>4.4999999999999998E-2</v>
      </c>
    </row>
    <row r="140" spans="1:8" ht="14.7" customHeight="1" thickBot="1">
      <c r="A140" s="97" t="s">
        <v>160</v>
      </c>
      <c r="B140" s="98"/>
      <c r="C140" s="338">
        <v>4050</v>
      </c>
      <c r="D140" s="339">
        <v>3969.3</v>
      </c>
      <c r="E140" s="340">
        <v>80.7</v>
      </c>
      <c r="F140" s="341">
        <v>0.02</v>
      </c>
      <c r="G140" s="352"/>
      <c r="H140" s="11"/>
    </row>
    <row r="141" spans="1:8" ht="14.7" customHeight="1">
      <c r="A141" s="111" t="s">
        <v>109</v>
      </c>
      <c r="B141" s="86"/>
      <c r="C141" s="321">
        <v>1857.9</v>
      </c>
      <c r="D141" s="322">
        <v>1843.8</v>
      </c>
      <c r="E141" s="330">
        <v>14.1</v>
      </c>
      <c r="F141" s="331">
        <v>8.0000000000000002E-3</v>
      </c>
    </row>
    <row r="142" spans="1:8" ht="14.7" customHeight="1">
      <c r="A142" s="111" t="s">
        <v>161</v>
      </c>
      <c r="B142" s="86"/>
      <c r="C142" s="321">
        <v>2192.1</v>
      </c>
      <c r="D142" s="322">
        <v>2125.5</v>
      </c>
      <c r="E142" s="330">
        <v>66.599999999999994</v>
      </c>
      <c r="F142" s="331">
        <v>3.1E-2</v>
      </c>
    </row>
    <row r="143" spans="1:8" ht="14.7" customHeight="1">
      <c r="A143" s="112" t="s">
        <v>162</v>
      </c>
      <c r="B143" s="79"/>
      <c r="C143" s="323">
        <v>1822.3</v>
      </c>
      <c r="D143" s="324">
        <v>1816.2</v>
      </c>
      <c r="E143" s="332">
        <v>6.1</v>
      </c>
      <c r="F143" s="333">
        <v>3.0000000000000001E-3</v>
      </c>
    </row>
    <row r="144" spans="1:8" ht="14.7" customHeight="1" thickBot="1">
      <c r="A144" s="119" t="s">
        <v>163</v>
      </c>
      <c r="B144" s="92"/>
      <c r="C144" s="334">
        <v>369.8</v>
      </c>
      <c r="D144" s="335">
        <v>309.3</v>
      </c>
      <c r="E144" s="336">
        <v>60.5</v>
      </c>
      <c r="F144" s="337">
        <v>0.19600000000000001</v>
      </c>
    </row>
    <row r="145" spans="1:9" ht="14.7" customHeight="1" thickBot="1">
      <c r="A145" s="97" t="s">
        <v>164</v>
      </c>
      <c r="B145" s="98"/>
      <c r="C145" s="338">
        <v>4050</v>
      </c>
      <c r="D145" s="339">
        <v>3969.3</v>
      </c>
      <c r="E145" s="340">
        <v>80.7</v>
      </c>
      <c r="F145" s="341">
        <v>0.02</v>
      </c>
    </row>
    <row r="146" spans="1:9" ht="14.7" customHeight="1">
      <c r="A146" s="121" t="s">
        <v>458</v>
      </c>
      <c r="B146" s="79"/>
      <c r="C146" s="365">
        <v>0.36</v>
      </c>
      <c r="D146" s="366">
        <v>0.34</v>
      </c>
      <c r="E146" s="367">
        <v>0.02</v>
      </c>
      <c r="F146" s="331">
        <v>5.8999999999999997E-2</v>
      </c>
    </row>
    <row r="147" spans="1:9" ht="14.7" customHeight="1">
      <c r="A147" s="121" t="s">
        <v>456</v>
      </c>
      <c r="B147" s="79"/>
      <c r="C147" s="354">
        <v>5.0999999999999997E-2</v>
      </c>
      <c r="D147" s="355">
        <v>4.7E-2</v>
      </c>
      <c r="E147" s="356" t="s">
        <v>25</v>
      </c>
      <c r="F147" s="356" t="s">
        <v>411</v>
      </c>
    </row>
    <row r="148" spans="1:9" ht="14.7" customHeight="1">
      <c r="A148" s="121" t="s">
        <v>387</v>
      </c>
      <c r="B148" s="79"/>
      <c r="C148" s="365">
        <v>2.79</v>
      </c>
      <c r="D148" s="366">
        <v>3.19</v>
      </c>
      <c r="E148" s="367">
        <v>-0.4</v>
      </c>
      <c r="F148" s="331">
        <v>-0.125</v>
      </c>
    </row>
    <row r="149" spans="1:9" ht="14.7" customHeight="1">
      <c r="A149" s="121" t="s">
        <v>457</v>
      </c>
      <c r="B149" s="79"/>
      <c r="C149" s="354">
        <v>8.5000000000000006E-2</v>
      </c>
      <c r="D149" s="355">
        <v>5.2999999999999999E-2</v>
      </c>
      <c r="E149" s="356" t="s">
        <v>25</v>
      </c>
      <c r="F149" s="356" t="s">
        <v>412</v>
      </c>
    </row>
    <row r="150" spans="1:9" ht="14.7" customHeight="1">
      <c r="A150" s="120"/>
      <c r="B150" s="34"/>
    </row>
    <row r="152" spans="1:9" ht="14.7" customHeight="1">
      <c r="A152" s="605" t="s">
        <v>392</v>
      </c>
      <c r="B152" s="605"/>
      <c r="C152" s="605"/>
      <c r="D152" s="605"/>
      <c r="E152" s="605"/>
      <c r="F152" s="605"/>
    </row>
    <row r="153" spans="1:9" ht="14.7" customHeight="1">
      <c r="A153" s="57"/>
      <c r="B153" s="59"/>
      <c r="C153" s="57" t="s">
        <v>407</v>
      </c>
      <c r="D153" s="57" t="s">
        <v>4</v>
      </c>
      <c r="E153" s="80" t="s">
        <v>23</v>
      </c>
      <c r="F153" s="80" t="s">
        <v>26</v>
      </c>
    </row>
    <row r="154" spans="1:9" ht="14.7" customHeight="1">
      <c r="A154" s="104" t="s">
        <v>165</v>
      </c>
      <c r="B154" s="105"/>
      <c r="C154" s="343">
        <v>1270</v>
      </c>
      <c r="D154" s="344">
        <v>1275.2</v>
      </c>
      <c r="E154" s="345">
        <v>-5.2</v>
      </c>
      <c r="F154" s="346">
        <v>-4.0000000000000001E-3</v>
      </c>
    </row>
    <row r="155" spans="1:9" ht="14.7" customHeight="1">
      <c r="A155" s="74" t="s">
        <v>166</v>
      </c>
      <c r="B155" s="79"/>
      <c r="C155" s="323">
        <v>354.3</v>
      </c>
      <c r="D155" s="324">
        <v>359</v>
      </c>
      <c r="E155" s="332">
        <v>-4.7</v>
      </c>
      <c r="F155" s="333">
        <v>-1.2999999999999999E-2</v>
      </c>
    </row>
    <row r="156" spans="1:9" ht="14.7" customHeight="1">
      <c r="A156" s="74" t="s">
        <v>167</v>
      </c>
      <c r="B156" s="79"/>
      <c r="C156" s="323">
        <v>887.5</v>
      </c>
      <c r="D156" s="324">
        <v>886.9</v>
      </c>
      <c r="E156" s="332">
        <v>0.6</v>
      </c>
      <c r="F156" s="333">
        <v>1E-3</v>
      </c>
      <c r="I156" s="36"/>
    </row>
    <row r="157" spans="1:9" ht="14.7" customHeight="1">
      <c r="A157" s="74" t="s">
        <v>168</v>
      </c>
      <c r="B157" s="79"/>
      <c r="C157" s="323">
        <v>0</v>
      </c>
      <c r="D157" s="324">
        <v>0.2</v>
      </c>
      <c r="E157" s="332">
        <v>-0.2</v>
      </c>
      <c r="F157" s="333">
        <v>-1</v>
      </c>
    </row>
    <row r="158" spans="1:9" ht="14.7" customHeight="1" thickBot="1">
      <c r="A158" s="91" t="s">
        <v>169</v>
      </c>
      <c r="B158" s="92"/>
      <c r="C158" s="334">
        <v>28.2</v>
      </c>
      <c r="D158" s="335">
        <v>29.1</v>
      </c>
      <c r="E158" s="336">
        <v>-0.9</v>
      </c>
      <c r="F158" s="337">
        <v>-3.1E-2</v>
      </c>
    </row>
    <row r="159" spans="1:9" ht="14.7" customHeight="1">
      <c r="A159" s="104" t="s">
        <v>170</v>
      </c>
      <c r="B159" s="105"/>
      <c r="C159" s="343">
        <v>27.1</v>
      </c>
      <c r="D159" s="344">
        <v>28.8</v>
      </c>
      <c r="E159" s="345">
        <v>-1.7</v>
      </c>
      <c r="F159" s="346">
        <v>-5.8999999999999997E-2</v>
      </c>
    </row>
    <row r="160" spans="1:9" ht="14.7" customHeight="1">
      <c r="A160" s="74" t="s">
        <v>171</v>
      </c>
      <c r="B160" s="79"/>
      <c r="C160" s="323">
        <v>7.9</v>
      </c>
      <c r="D160" s="324">
        <v>6.3</v>
      </c>
      <c r="E160" s="332">
        <v>1.6</v>
      </c>
      <c r="F160" s="333">
        <v>0.254</v>
      </c>
    </row>
    <row r="161" spans="1:6" ht="14.7" customHeight="1">
      <c r="A161" s="74" t="s">
        <v>172</v>
      </c>
      <c r="B161" s="79"/>
      <c r="C161" s="323">
        <v>0</v>
      </c>
      <c r="D161" s="324">
        <v>0</v>
      </c>
      <c r="E161" s="332">
        <v>0</v>
      </c>
      <c r="F161" s="333">
        <v>0</v>
      </c>
    </row>
    <row r="162" spans="1:6" ht="14.7" customHeight="1">
      <c r="A162" s="74" t="s">
        <v>168</v>
      </c>
      <c r="B162" s="79"/>
      <c r="C162" s="323">
        <v>13.8</v>
      </c>
      <c r="D162" s="324">
        <v>9.1</v>
      </c>
      <c r="E162" s="332">
        <v>4.7</v>
      </c>
      <c r="F162" s="333">
        <v>0.51600000000000001</v>
      </c>
    </row>
    <row r="163" spans="1:6" ht="14.7" customHeight="1">
      <c r="A163" s="74" t="s">
        <v>169</v>
      </c>
      <c r="B163" s="79"/>
      <c r="C163" s="323">
        <v>5.4</v>
      </c>
      <c r="D163" s="324">
        <v>13.4</v>
      </c>
      <c r="E163" s="332">
        <v>-8</v>
      </c>
      <c r="F163" s="333">
        <v>-0.59699999999999998</v>
      </c>
    </row>
    <row r="164" spans="1:6" ht="14.7" customHeight="1" thickBot="1">
      <c r="A164" s="113" t="s">
        <v>173</v>
      </c>
      <c r="B164" s="92"/>
      <c r="C164" s="357">
        <v>0</v>
      </c>
      <c r="D164" s="358">
        <v>0</v>
      </c>
      <c r="E164" s="359">
        <v>0</v>
      </c>
      <c r="F164" s="360">
        <v>0</v>
      </c>
    </row>
    <row r="165" spans="1:6" ht="14.7" customHeight="1" thickBot="1">
      <c r="A165" s="129" t="s">
        <v>233</v>
      </c>
      <c r="B165" s="98"/>
      <c r="C165" s="338">
        <v>1297.0999999999999</v>
      </c>
      <c r="D165" s="339">
        <v>1304</v>
      </c>
      <c r="E165" s="340">
        <v>-6.9</v>
      </c>
      <c r="F165" s="341">
        <v>-5.0000000000000001E-3</v>
      </c>
    </row>
    <row r="166" spans="1:6" ht="26.4">
      <c r="A166" s="104" t="s">
        <v>174</v>
      </c>
      <c r="B166" s="105"/>
      <c r="C166" s="343">
        <v>717.8</v>
      </c>
      <c r="D166" s="344">
        <v>703.8</v>
      </c>
      <c r="E166" s="345">
        <v>14</v>
      </c>
      <c r="F166" s="346">
        <v>0.02</v>
      </c>
    </row>
    <row r="167" spans="1:6" ht="14.7" customHeight="1">
      <c r="A167" s="74" t="s">
        <v>175</v>
      </c>
      <c r="B167" s="79"/>
      <c r="C167" s="323">
        <v>672.8</v>
      </c>
      <c r="D167" s="324">
        <v>658.8</v>
      </c>
      <c r="E167" s="332">
        <v>14</v>
      </c>
      <c r="F167" s="333">
        <v>2.1000000000000001E-2</v>
      </c>
    </row>
    <row r="168" spans="1:6" ht="14.7" customHeight="1" thickBot="1">
      <c r="A168" s="113" t="s">
        <v>176</v>
      </c>
      <c r="B168" s="92"/>
      <c r="C168" s="357">
        <v>45</v>
      </c>
      <c r="D168" s="358">
        <v>45</v>
      </c>
      <c r="E168" s="359">
        <v>0</v>
      </c>
      <c r="F168" s="360">
        <v>0</v>
      </c>
    </row>
    <row r="169" spans="1:6" ht="14.7" customHeight="1" thickBot="1">
      <c r="A169" s="129" t="s">
        <v>234</v>
      </c>
      <c r="B169" s="98"/>
      <c r="C169" s="338">
        <v>579.29999999999995</v>
      </c>
      <c r="D169" s="339">
        <v>600.20000000000005</v>
      </c>
      <c r="E169" s="340">
        <v>-20.9</v>
      </c>
      <c r="F169" s="341">
        <v>-3.5000000000000003E-2</v>
      </c>
    </row>
    <row r="170" spans="1:6" ht="14.7" customHeight="1" thickBot="1">
      <c r="A170" s="113" t="s">
        <v>177</v>
      </c>
      <c r="B170" s="92"/>
      <c r="C170" s="357">
        <v>150.69999999999999</v>
      </c>
      <c r="D170" s="358">
        <v>150.69999999999999</v>
      </c>
      <c r="E170" s="359">
        <v>0</v>
      </c>
      <c r="F170" s="360" t="s">
        <v>413</v>
      </c>
    </row>
    <row r="171" spans="1:6" ht="14.7" customHeight="1" thickBot="1">
      <c r="A171" s="129" t="s">
        <v>178</v>
      </c>
      <c r="B171" s="98"/>
      <c r="C171" s="338">
        <v>428.6</v>
      </c>
      <c r="D171" s="339">
        <v>449.5</v>
      </c>
      <c r="E171" s="340">
        <v>-20.9</v>
      </c>
      <c r="F171" s="341">
        <v>-4.5999999999999999E-2</v>
      </c>
    </row>
    <row r="172" spans="1:6" ht="14.7" customHeight="1">
      <c r="A172" s="121" t="s">
        <v>459</v>
      </c>
      <c r="B172" s="79"/>
      <c r="C172" s="365">
        <v>1.89</v>
      </c>
      <c r="D172" s="366">
        <v>2.06</v>
      </c>
      <c r="E172" s="367">
        <v>-0.17</v>
      </c>
      <c r="F172" s="331">
        <v>-8.3000000000000004E-2</v>
      </c>
    </row>
    <row r="173" spans="1:6" ht="14.7" customHeight="1">
      <c r="A173" s="121" t="s">
        <v>460</v>
      </c>
      <c r="B173" s="79"/>
      <c r="C173" s="365">
        <v>1.59</v>
      </c>
      <c r="D173" s="366">
        <v>1.78</v>
      </c>
      <c r="E173" s="367">
        <v>-0.19</v>
      </c>
      <c r="F173" s="331">
        <v>-0.107</v>
      </c>
    </row>
    <row r="174" spans="1:6" ht="14.7" customHeight="1">
      <c r="A174" s="121" t="s">
        <v>461</v>
      </c>
      <c r="B174" s="79"/>
      <c r="C174" s="354">
        <v>0.58099999999999996</v>
      </c>
      <c r="D174" s="355">
        <v>0.52100000000000002</v>
      </c>
      <c r="E174" s="356" t="s">
        <v>25</v>
      </c>
      <c r="F174" s="356" t="s">
        <v>415</v>
      </c>
    </row>
    <row r="175" spans="1:6" ht="14.7" customHeight="1">
      <c r="A175" s="121" t="s">
        <v>389</v>
      </c>
      <c r="B175" s="79"/>
      <c r="C175" s="365">
        <v>0.7</v>
      </c>
      <c r="D175" s="366">
        <v>0.71</v>
      </c>
      <c r="E175" s="367">
        <v>-0.1</v>
      </c>
      <c r="F175" s="331">
        <v>-0.01</v>
      </c>
    </row>
    <row r="176" spans="1:6" ht="14.7" customHeight="1">
      <c r="A176" s="121" t="s">
        <v>390</v>
      </c>
      <c r="B176" s="79"/>
      <c r="C176" s="365">
        <v>0.46</v>
      </c>
      <c r="D176" s="366">
        <v>0.46</v>
      </c>
      <c r="E176" s="367">
        <v>0</v>
      </c>
      <c r="F176" s="331">
        <v>-0.01</v>
      </c>
    </row>
    <row r="177" spans="1:6" ht="14.7" customHeight="1">
      <c r="A177" s="120"/>
    </row>
    <row r="179" spans="1:6" ht="14.7" customHeight="1">
      <c r="A179" s="605" t="s">
        <v>391</v>
      </c>
      <c r="B179" s="605"/>
      <c r="C179" s="605"/>
      <c r="D179" s="605"/>
      <c r="E179" s="605"/>
      <c r="F179" s="605"/>
    </row>
    <row r="180" spans="1:6" ht="13.2">
      <c r="A180" s="57"/>
      <c r="B180" s="59"/>
      <c r="C180" s="57" t="s">
        <v>408</v>
      </c>
      <c r="D180" s="57" t="s">
        <v>241</v>
      </c>
      <c r="E180" s="80" t="s">
        <v>2</v>
      </c>
      <c r="F180" s="80" t="s">
        <v>3</v>
      </c>
    </row>
    <row r="181" spans="1:6" ht="14.7" customHeight="1">
      <c r="A181" s="104" t="s">
        <v>179</v>
      </c>
      <c r="B181" s="105"/>
      <c r="C181" s="343">
        <v>658.8</v>
      </c>
      <c r="D181" s="344">
        <v>131.80000000000001</v>
      </c>
      <c r="E181" s="345">
        <v>527</v>
      </c>
      <c r="F181" s="346" t="s">
        <v>25</v>
      </c>
    </row>
    <row r="182" spans="1:6" ht="14.7" customHeight="1">
      <c r="A182" s="74" t="s">
        <v>6</v>
      </c>
      <c r="B182" s="79"/>
      <c r="C182" s="323">
        <v>65.8</v>
      </c>
      <c r="D182" s="324">
        <v>76.8</v>
      </c>
      <c r="E182" s="332">
        <v>-11</v>
      </c>
      <c r="F182" s="333">
        <v>-0.14299999999999999</v>
      </c>
    </row>
    <row r="183" spans="1:6" ht="14.7" customHeight="1">
      <c r="A183" s="74" t="s">
        <v>7</v>
      </c>
      <c r="B183" s="79"/>
      <c r="C183" s="323">
        <v>-37.700000000000003</v>
      </c>
      <c r="D183" s="324">
        <v>-55.2</v>
      </c>
      <c r="E183" s="332">
        <v>17.5</v>
      </c>
      <c r="F183" s="333">
        <v>-0.317</v>
      </c>
    </row>
    <row r="184" spans="1:6" ht="14.7" customHeight="1" thickBot="1">
      <c r="A184" s="113" t="s">
        <v>8</v>
      </c>
      <c r="B184" s="92"/>
      <c r="C184" s="357">
        <v>-14.1</v>
      </c>
      <c r="D184" s="358">
        <v>-27.1</v>
      </c>
      <c r="E184" s="359">
        <v>13</v>
      </c>
      <c r="F184" s="360">
        <v>-0.48</v>
      </c>
    </row>
    <row r="185" spans="1:6" ht="14.7" customHeight="1" thickBot="1">
      <c r="A185" s="129" t="s">
        <v>180</v>
      </c>
      <c r="B185" s="98"/>
      <c r="C185" s="338">
        <v>14</v>
      </c>
      <c r="D185" s="339">
        <v>-5.5</v>
      </c>
      <c r="E185" s="340">
        <v>19.5</v>
      </c>
      <c r="F185" s="341" t="s">
        <v>25</v>
      </c>
    </row>
    <row r="186" spans="1:6" ht="14.7" customHeight="1" thickBot="1">
      <c r="A186" s="97" t="s">
        <v>181</v>
      </c>
      <c r="B186" s="130"/>
      <c r="C186" s="338">
        <v>672.8</v>
      </c>
      <c r="D186" s="339">
        <v>126.3</v>
      </c>
      <c r="E186" s="340">
        <v>546.5</v>
      </c>
      <c r="F186" s="341" t="s">
        <v>25</v>
      </c>
    </row>
    <row r="189" spans="1:6" ht="14.7" customHeight="1">
      <c r="A189" s="605" t="s">
        <v>182</v>
      </c>
      <c r="B189" s="605"/>
      <c r="C189" s="605"/>
      <c r="D189" s="605"/>
      <c r="E189" s="605"/>
      <c r="F189" s="605"/>
    </row>
    <row r="190" spans="1:6" ht="13.2">
      <c r="A190" s="57"/>
      <c r="B190" s="59"/>
      <c r="C190" s="57" t="s">
        <v>408</v>
      </c>
      <c r="D190" s="57" t="s">
        <v>241</v>
      </c>
      <c r="E190" s="80" t="s">
        <v>2</v>
      </c>
      <c r="F190" s="80" t="s">
        <v>3</v>
      </c>
    </row>
    <row r="191" spans="1:6" ht="14.7" customHeight="1">
      <c r="A191" s="70" t="s">
        <v>214</v>
      </c>
      <c r="B191" s="86"/>
      <c r="C191" s="321">
        <v>87.9</v>
      </c>
      <c r="D191" s="322">
        <v>62.1</v>
      </c>
      <c r="E191" s="330">
        <v>25.8</v>
      </c>
      <c r="F191" s="331">
        <v>0.41499999999999998</v>
      </c>
    </row>
    <row r="192" spans="1:6" ht="14.7" customHeight="1">
      <c r="A192" s="74" t="s">
        <v>183</v>
      </c>
      <c r="B192" s="79"/>
      <c r="C192" s="323">
        <v>0.1</v>
      </c>
      <c r="D192" s="324">
        <v>0.1</v>
      </c>
      <c r="E192" s="332">
        <v>0</v>
      </c>
      <c r="F192" s="333">
        <v>0</v>
      </c>
    </row>
    <row r="193" spans="1:6" ht="14.7" customHeight="1">
      <c r="A193" s="74" t="s">
        <v>184</v>
      </c>
      <c r="B193" s="79"/>
      <c r="C193" s="323">
        <v>-1.7</v>
      </c>
      <c r="D193" s="324">
        <v>-1.4</v>
      </c>
      <c r="E193" s="332">
        <v>-0.3</v>
      </c>
      <c r="F193" s="333">
        <v>0.214</v>
      </c>
    </row>
    <row r="194" spans="1:6" ht="14.7" customHeight="1" thickBot="1">
      <c r="A194" s="113" t="s">
        <v>185</v>
      </c>
      <c r="B194" s="92"/>
      <c r="C194" s="357">
        <v>-1.8</v>
      </c>
      <c r="D194" s="358">
        <v>-0.6</v>
      </c>
      <c r="E194" s="359">
        <v>-1.2</v>
      </c>
      <c r="F194" s="360">
        <v>2</v>
      </c>
    </row>
    <row r="195" spans="1:6" ht="14.7" customHeight="1" thickBot="1">
      <c r="A195" s="129" t="s">
        <v>235</v>
      </c>
      <c r="B195" s="98"/>
      <c r="C195" s="338">
        <v>84.5</v>
      </c>
      <c r="D195" s="339">
        <v>60.2</v>
      </c>
      <c r="E195" s="340">
        <v>24.3</v>
      </c>
      <c r="F195" s="341">
        <v>0.40400000000000003</v>
      </c>
    </row>
    <row r="198" spans="1:6" ht="14.7" customHeight="1">
      <c r="A198" s="605" t="s">
        <v>186</v>
      </c>
      <c r="B198" s="605"/>
      <c r="C198" s="605"/>
      <c r="D198" s="605"/>
      <c r="E198" s="605"/>
      <c r="F198" s="605"/>
    </row>
    <row r="199" spans="1:6" ht="13.2">
      <c r="A199" s="57"/>
      <c r="B199" s="59"/>
      <c r="C199" s="57" t="s">
        <v>408</v>
      </c>
      <c r="D199" s="57" t="s">
        <v>241</v>
      </c>
      <c r="E199" s="80" t="s">
        <v>2</v>
      </c>
      <c r="F199" s="80" t="s">
        <v>3</v>
      </c>
    </row>
    <row r="200" spans="1:6" ht="14.7" customHeight="1">
      <c r="A200" s="70" t="s">
        <v>237</v>
      </c>
      <c r="B200" s="86"/>
      <c r="C200" s="321">
        <v>84.5</v>
      </c>
      <c r="D200" s="322">
        <v>60.2</v>
      </c>
      <c r="E200" s="330">
        <v>24.3</v>
      </c>
      <c r="F200" s="331">
        <v>0.40400000000000003</v>
      </c>
    </row>
    <row r="201" spans="1:6" ht="14.7" customHeight="1">
      <c r="A201" s="74" t="s">
        <v>187</v>
      </c>
      <c r="B201" s="79"/>
      <c r="C201" s="323">
        <v>-28.2</v>
      </c>
      <c r="D201" s="324">
        <v>-62.4</v>
      </c>
      <c r="E201" s="332">
        <v>34.200000000000003</v>
      </c>
      <c r="F201" s="333">
        <v>-0.54800000000000004</v>
      </c>
    </row>
    <row r="202" spans="1:6" ht="14.7" customHeight="1">
      <c r="A202" s="74" t="s">
        <v>188</v>
      </c>
      <c r="B202" s="79"/>
      <c r="C202" s="323">
        <v>7.8</v>
      </c>
      <c r="D202" s="324">
        <v>5.7</v>
      </c>
      <c r="E202" s="332">
        <v>2.1</v>
      </c>
      <c r="F202" s="333">
        <v>0.36799999999999999</v>
      </c>
    </row>
    <row r="203" spans="1:6" ht="14.7" customHeight="1">
      <c r="A203" s="74" t="s">
        <v>189</v>
      </c>
      <c r="B203" s="79"/>
      <c r="C203" s="323">
        <v>2.7</v>
      </c>
      <c r="D203" s="324">
        <v>2.2999999999999998</v>
      </c>
      <c r="E203" s="332">
        <v>0.4</v>
      </c>
      <c r="F203" s="333">
        <v>0.17399999999999999</v>
      </c>
    </row>
    <row r="204" spans="1:6" ht="14.7" customHeight="1">
      <c r="A204" s="74" t="s">
        <v>414</v>
      </c>
      <c r="B204" s="79"/>
      <c r="C204" s="323">
        <v>0.5</v>
      </c>
      <c r="D204" s="324">
        <v>3.9</v>
      </c>
      <c r="E204" s="332">
        <v>-3.4</v>
      </c>
      <c r="F204" s="333">
        <v>-0.872</v>
      </c>
    </row>
    <row r="205" spans="1:6" ht="14.7" customHeight="1" thickBot="1">
      <c r="A205" s="113" t="s">
        <v>191</v>
      </c>
      <c r="B205" s="92"/>
      <c r="C205" s="357">
        <v>-38.799999999999997</v>
      </c>
      <c r="D205" s="358">
        <v>6.3</v>
      </c>
      <c r="E205" s="359">
        <v>-45.1</v>
      </c>
      <c r="F205" s="360" t="s">
        <v>25</v>
      </c>
    </row>
    <row r="206" spans="1:6" ht="14.7" customHeight="1" thickBot="1">
      <c r="A206" s="129" t="s">
        <v>236</v>
      </c>
      <c r="B206" s="98"/>
      <c r="C206" s="338">
        <v>28.5</v>
      </c>
      <c r="D206" s="339">
        <v>16</v>
      </c>
      <c r="E206" s="340">
        <v>12.5</v>
      </c>
      <c r="F206" s="341">
        <v>0.78100000000000003</v>
      </c>
    </row>
    <row r="207" spans="1:6" ht="14.7" customHeight="1">
      <c r="A207" s="369" t="s">
        <v>417</v>
      </c>
    </row>
    <row r="210" spans="1:2" ht="14.7" customHeight="1">
      <c r="A210" s="84" t="s">
        <v>86</v>
      </c>
    </row>
    <row r="216" spans="1:2" ht="14.7" customHeight="1">
      <c r="B216" s="368"/>
    </row>
    <row r="217" spans="1:2" ht="14.7" customHeight="1">
      <c r="B217" s="368"/>
    </row>
    <row r="219" spans="1:2" ht="14.7" customHeight="1">
      <c r="A219" s="32" t="s">
        <v>24</v>
      </c>
    </row>
  </sheetData>
  <mergeCells count="14">
    <mergeCell ref="A189:F189"/>
    <mergeCell ref="A198:F198"/>
    <mergeCell ref="A93:F93"/>
    <mergeCell ref="A101:F101"/>
    <mergeCell ref="A112:F112"/>
    <mergeCell ref="A136:F136"/>
    <mergeCell ref="A152:F152"/>
    <mergeCell ref="A179:F179"/>
    <mergeCell ref="A82:F82"/>
    <mergeCell ref="A2:F2"/>
    <mergeCell ref="A37:F37"/>
    <mergeCell ref="A48:F48"/>
    <mergeCell ref="A55:F55"/>
    <mergeCell ref="A63:F6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3"/>
  <sheetViews>
    <sheetView zoomScale="80" zoomScaleNormal="80" workbookViewId="0"/>
  </sheetViews>
  <sheetFormatPr defaultColWidth="9.109375" defaultRowHeight="14.7" customHeight="1"/>
  <cols>
    <col min="1" max="1" width="55.6640625" style="33" customWidth="1"/>
    <col min="2" max="9" width="13.6640625" style="12" customWidth="1"/>
    <col min="10" max="16384" width="9.109375" style="12"/>
  </cols>
  <sheetData>
    <row r="1" spans="1:9" ht="39.9" customHeight="1">
      <c r="A1" s="84" t="s">
        <v>86</v>
      </c>
      <c r="B1" s="11"/>
      <c r="C1" s="11"/>
      <c r="D1" s="11"/>
      <c r="H1" s="16"/>
    </row>
    <row r="2" spans="1:9" ht="39.9" customHeight="1" thickBot="1">
      <c r="A2" s="606" t="s">
        <v>469</v>
      </c>
      <c r="B2" s="606"/>
      <c r="C2" s="606"/>
      <c r="D2" s="606"/>
      <c r="E2" s="606"/>
      <c r="F2" s="606"/>
      <c r="G2" s="606"/>
      <c r="H2" s="606"/>
      <c r="I2" s="606"/>
    </row>
    <row r="3" spans="1:9" ht="14.7" customHeight="1">
      <c r="A3" s="31"/>
      <c r="B3" s="17"/>
      <c r="C3" s="17"/>
      <c r="D3" s="17"/>
      <c r="E3" s="17"/>
      <c r="F3" s="17"/>
      <c r="G3" s="15"/>
    </row>
    <row r="4" spans="1:9" ht="14.7" customHeight="1">
      <c r="A4" s="31"/>
      <c r="B4" s="17"/>
      <c r="C4" s="17"/>
      <c r="D4" s="17"/>
      <c r="E4" s="17"/>
      <c r="F4" s="17"/>
      <c r="G4" s="15"/>
    </row>
    <row r="5" spans="1:9" ht="26.4">
      <c r="A5" s="131"/>
      <c r="B5" s="132" t="s">
        <v>112</v>
      </c>
      <c r="C5" s="133" t="s">
        <v>114</v>
      </c>
      <c r="D5" s="133" t="s">
        <v>113</v>
      </c>
      <c r="E5" s="133" t="s">
        <v>111</v>
      </c>
      <c r="F5" s="133" t="s">
        <v>115</v>
      </c>
      <c r="G5" s="133" t="s">
        <v>200</v>
      </c>
      <c r="H5" s="133" t="s">
        <v>201</v>
      </c>
      <c r="I5" s="133" t="s">
        <v>202</v>
      </c>
    </row>
    <row r="6" spans="1:9" ht="14.7" customHeight="1">
      <c r="A6" s="134" t="s">
        <v>418</v>
      </c>
      <c r="B6" s="607" t="s">
        <v>198</v>
      </c>
      <c r="C6" s="607"/>
      <c r="D6" s="607"/>
      <c r="E6" s="607"/>
      <c r="F6" s="607"/>
      <c r="G6" s="135"/>
      <c r="H6" s="135"/>
      <c r="I6" s="134" t="s">
        <v>199</v>
      </c>
    </row>
    <row r="7" spans="1:9" s="22" customFormat="1" ht="14.7" customHeight="1">
      <c r="A7" s="104" t="s">
        <v>48</v>
      </c>
      <c r="B7" s="136">
        <v>147.80000000000001</v>
      </c>
      <c r="C7" s="136">
        <v>35.299999999999997</v>
      </c>
      <c r="D7" s="136">
        <v>29.9</v>
      </c>
      <c r="E7" s="136">
        <v>184.2</v>
      </c>
      <c r="F7" s="136">
        <v>0</v>
      </c>
      <c r="G7" s="137">
        <v>397.2</v>
      </c>
      <c r="H7" s="136">
        <v>-3.8</v>
      </c>
      <c r="I7" s="137">
        <v>393.4</v>
      </c>
    </row>
    <row r="8" spans="1:9" ht="14.7" customHeight="1">
      <c r="A8" s="74" t="s">
        <v>125</v>
      </c>
      <c r="B8" s="78">
        <v>-62.5</v>
      </c>
      <c r="C8" s="78">
        <v>-11.2</v>
      </c>
      <c r="D8" s="78">
        <v>-17.600000000000001</v>
      </c>
      <c r="E8" s="78">
        <v>-173.5</v>
      </c>
      <c r="F8" s="78">
        <v>0.1</v>
      </c>
      <c r="G8" s="138">
        <v>-264.7</v>
      </c>
      <c r="H8" s="78"/>
      <c r="I8" s="138">
        <v>-264.7</v>
      </c>
    </row>
    <row r="9" spans="1:9" ht="14.7" customHeight="1">
      <c r="A9" s="74" t="s">
        <v>127</v>
      </c>
      <c r="B9" s="78">
        <v>-14.2</v>
      </c>
      <c r="C9" s="78">
        <v>-1.9</v>
      </c>
      <c r="D9" s="78">
        <v>-1.6</v>
      </c>
      <c r="E9" s="78">
        <v>-3</v>
      </c>
      <c r="F9" s="78">
        <v>-4.7</v>
      </c>
      <c r="G9" s="138">
        <v>-25.4</v>
      </c>
      <c r="H9" s="78"/>
      <c r="I9" s="138">
        <v>-25.4</v>
      </c>
    </row>
    <row r="10" spans="1:9" ht="14.7" customHeight="1">
      <c r="A10" s="74" t="s">
        <v>128</v>
      </c>
      <c r="B10" s="78">
        <v>-3.5</v>
      </c>
      <c r="C10" s="78">
        <v>-0.7</v>
      </c>
      <c r="D10" s="78">
        <v>-1.3</v>
      </c>
      <c r="E10" s="78">
        <v>0</v>
      </c>
      <c r="F10" s="78">
        <v>0</v>
      </c>
      <c r="G10" s="138">
        <v>-5.5</v>
      </c>
      <c r="H10" s="78"/>
      <c r="I10" s="138">
        <v>-5.5</v>
      </c>
    </row>
    <row r="11" spans="1:9" ht="14.7" customHeight="1" thickBot="1">
      <c r="A11" s="121" t="s">
        <v>193</v>
      </c>
      <c r="B11" s="139">
        <v>-8.3000000000000007</v>
      </c>
      <c r="C11" s="139">
        <v>-2.1</v>
      </c>
      <c r="D11" s="139">
        <v>-1.3</v>
      </c>
      <c r="E11" s="139">
        <v>-3.6</v>
      </c>
      <c r="F11" s="139">
        <v>5.6</v>
      </c>
      <c r="G11" s="140">
        <v>-9.6999999999999993</v>
      </c>
      <c r="H11" s="139">
        <v>-0.2</v>
      </c>
      <c r="I11" s="140">
        <v>-9.9</v>
      </c>
    </row>
    <row r="12" spans="1:9" s="22" customFormat="1" ht="14.7" customHeight="1">
      <c r="A12" s="141" t="s">
        <v>214</v>
      </c>
      <c r="B12" s="142">
        <v>59.3</v>
      </c>
      <c r="C12" s="142">
        <v>19.399999999999999</v>
      </c>
      <c r="D12" s="142">
        <v>8.1</v>
      </c>
      <c r="E12" s="142">
        <v>4.0999999999999996</v>
      </c>
      <c r="F12" s="142">
        <v>1</v>
      </c>
      <c r="G12" s="143">
        <v>91.9</v>
      </c>
      <c r="H12" s="142">
        <v>-4</v>
      </c>
      <c r="I12" s="143">
        <v>87.9</v>
      </c>
    </row>
    <row r="13" spans="1:9" ht="14.7" customHeight="1">
      <c r="A13" s="74" t="s">
        <v>194</v>
      </c>
      <c r="B13" s="78">
        <v>-20.3</v>
      </c>
      <c r="C13" s="78">
        <v>-4.5</v>
      </c>
      <c r="D13" s="78">
        <v>-2.9</v>
      </c>
      <c r="E13" s="78">
        <v>-0.4</v>
      </c>
      <c r="F13" s="78">
        <v>-1.3</v>
      </c>
      <c r="G13" s="138">
        <v>-29.4</v>
      </c>
      <c r="H13" s="78"/>
      <c r="I13" s="138">
        <v>-29.4</v>
      </c>
    </row>
    <row r="14" spans="1:9" ht="26.4">
      <c r="A14" s="74" t="s">
        <v>195</v>
      </c>
      <c r="B14" s="78">
        <v>0</v>
      </c>
      <c r="C14" s="78">
        <v>0</v>
      </c>
      <c r="D14" s="78">
        <v>-1</v>
      </c>
      <c r="E14" s="78">
        <v>0</v>
      </c>
      <c r="F14" s="78">
        <v>0</v>
      </c>
      <c r="G14" s="138">
        <v>-1</v>
      </c>
      <c r="H14" s="78"/>
      <c r="I14" s="138">
        <v>-1</v>
      </c>
    </row>
    <row r="15" spans="1:9" ht="26.4">
      <c r="A15" s="74" t="s">
        <v>144</v>
      </c>
      <c r="B15" s="78">
        <v>-0.1</v>
      </c>
      <c r="C15" s="78">
        <v>0</v>
      </c>
      <c r="D15" s="78">
        <v>0.1</v>
      </c>
      <c r="E15" s="78">
        <v>-0.1</v>
      </c>
      <c r="F15" s="78">
        <v>-0.1</v>
      </c>
      <c r="G15" s="138">
        <v>-0.2</v>
      </c>
      <c r="H15" s="78">
        <v>0.2</v>
      </c>
      <c r="I15" s="138">
        <v>0</v>
      </c>
    </row>
    <row r="16" spans="1:9" ht="14.7" customHeight="1" thickBot="1">
      <c r="A16" s="121" t="s">
        <v>143</v>
      </c>
      <c r="B16" s="139">
        <v>0</v>
      </c>
      <c r="C16" s="139">
        <v>0</v>
      </c>
      <c r="D16" s="139">
        <v>0</v>
      </c>
      <c r="E16" s="139">
        <v>0</v>
      </c>
      <c r="F16" s="139">
        <v>0</v>
      </c>
      <c r="G16" s="140"/>
      <c r="H16" s="139">
        <v>-6.2</v>
      </c>
      <c r="I16" s="140">
        <v>-6.2</v>
      </c>
    </row>
    <row r="17" spans="1:9" s="22" customFormat="1" ht="14.7" customHeight="1">
      <c r="A17" s="141" t="s">
        <v>215</v>
      </c>
      <c r="B17" s="142">
        <v>38.9</v>
      </c>
      <c r="C17" s="142">
        <v>14.9</v>
      </c>
      <c r="D17" s="142">
        <v>4.3</v>
      </c>
      <c r="E17" s="142">
        <v>3.6</v>
      </c>
      <c r="F17" s="142">
        <v>-0.4</v>
      </c>
      <c r="G17" s="143">
        <v>61.3</v>
      </c>
      <c r="H17" s="142">
        <v>-9.9</v>
      </c>
      <c r="I17" s="143">
        <v>51.3</v>
      </c>
    </row>
    <row r="18" spans="1:9" ht="14.7" customHeight="1">
      <c r="A18" s="74" t="s">
        <v>196</v>
      </c>
      <c r="B18" s="144"/>
      <c r="C18" s="144"/>
      <c r="D18" s="145"/>
      <c r="E18" s="144"/>
      <c r="F18" s="144"/>
      <c r="G18" s="138">
        <v>-6</v>
      </c>
      <c r="H18" s="78"/>
      <c r="I18" s="138">
        <v>-6</v>
      </c>
    </row>
    <row r="19" spans="1:9" ht="14.7" customHeight="1" thickBot="1">
      <c r="A19" s="121" t="s">
        <v>197</v>
      </c>
      <c r="B19" s="146"/>
      <c r="C19" s="146"/>
      <c r="D19" s="147"/>
      <c r="E19" s="146"/>
      <c r="F19" s="146"/>
      <c r="G19" s="140">
        <v>-9.8000000000000007</v>
      </c>
      <c r="H19" s="139">
        <v>1.5</v>
      </c>
      <c r="I19" s="140">
        <v>-8.3000000000000007</v>
      </c>
    </row>
    <row r="20" spans="1:9" s="22" customFormat="1" ht="14.7" customHeight="1" thickBot="1">
      <c r="A20" s="115" t="s">
        <v>84</v>
      </c>
      <c r="B20" s="148"/>
      <c r="C20" s="148"/>
      <c r="D20" s="149"/>
      <c r="E20" s="150"/>
      <c r="F20" s="148"/>
      <c r="G20" s="151">
        <v>45.5</v>
      </c>
      <c r="H20" s="152">
        <v>-8.4</v>
      </c>
      <c r="I20" s="151">
        <v>37.1</v>
      </c>
    </row>
    <row r="21" spans="1:9" ht="14.7" customHeight="1">
      <c r="A21" s="153" t="s">
        <v>241</v>
      </c>
      <c r="B21" s="607" t="s">
        <v>198</v>
      </c>
      <c r="C21" s="607"/>
      <c r="D21" s="607"/>
      <c r="E21" s="607"/>
      <c r="F21" s="607"/>
      <c r="G21" s="135"/>
      <c r="H21" s="135"/>
      <c r="I21" s="134" t="s">
        <v>199</v>
      </c>
    </row>
    <row r="22" spans="1:9" s="22" customFormat="1" ht="14.7" customHeight="1">
      <c r="A22" s="104" t="s">
        <v>48</v>
      </c>
      <c r="B22" s="136">
        <v>126.7</v>
      </c>
      <c r="C22" s="136">
        <v>22.5</v>
      </c>
      <c r="D22" s="136">
        <v>15.5</v>
      </c>
      <c r="E22" s="136">
        <v>178.5</v>
      </c>
      <c r="F22" s="136">
        <v>-2.5</v>
      </c>
      <c r="G22" s="137">
        <v>340.7</v>
      </c>
      <c r="H22" s="136">
        <v>-15</v>
      </c>
      <c r="I22" s="137">
        <v>325.7</v>
      </c>
    </row>
    <row r="23" spans="1:9" ht="14.7" customHeight="1">
      <c r="A23" s="74" t="s">
        <v>125</v>
      </c>
      <c r="B23" s="78">
        <v>-50.2</v>
      </c>
      <c r="C23" s="78">
        <v>-4.7</v>
      </c>
      <c r="D23" s="78">
        <v>-7.7</v>
      </c>
      <c r="E23" s="78">
        <v>-118.5</v>
      </c>
      <c r="F23" s="78">
        <v>1.3</v>
      </c>
      <c r="G23" s="138">
        <v>-179.8</v>
      </c>
      <c r="H23" s="78">
        <v>0</v>
      </c>
      <c r="I23" s="138">
        <v>-179.8</v>
      </c>
    </row>
    <row r="24" spans="1:9" ht="14.7" customHeight="1">
      <c r="A24" s="74" t="s">
        <v>127</v>
      </c>
      <c r="B24" s="78">
        <v>-13.3</v>
      </c>
      <c r="C24" s="78">
        <v>-1.4</v>
      </c>
      <c r="D24" s="78">
        <v>-1.8</v>
      </c>
      <c r="E24" s="78">
        <v>-2.2999999999999998</v>
      </c>
      <c r="F24" s="78">
        <v>-5.7</v>
      </c>
      <c r="G24" s="138">
        <v>-24.5</v>
      </c>
      <c r="H24" s="78">
        <v>0</v>
      </c>
      <c r="I24" s="138">
        <v>-24.5</v>
      </c>
    </row>
    <row r="25" spans="1:9" ht="14.7" customHeight="1">
      <c r="A25" s="74" t="s">
        <v>128</v>
      </c>
      <c r="B25" s="78">
        <v>-3.4</v>
      </c>
      <c r="C25" s="78">
        <v>-0.5</v>
      </c>
      <c r="D25" s="78">
        <v>-0.8</v>
      </c>
      <c r="E25" s="78">
        <v>0</v>
      </c>
      <c r="F25" s="78">
        <v>-0.1</v>
      </c>
      <c r="G25" s="138">
        <v>-4.8</v>
      </c>
      <c r="H25" s="78">
        <v>0</v>
      </c>
      <c r="I25" s="138">
        <v>-4.8</v>
      </c>
    </row>
    <row r="26" spans="1:9" ht="14.7" customHeight="1" thickBot="1">
      <c r="A26" s="121" t="s">
        <v>193</v>
      </c>
      <c r="B26" s="139">
        <v>-7.6</v>
      </c>
      <c r="C26" s="139">
        <v>-1.5</v>
      </c>
      <c r="D26" s="139">
        <v>-0.7</v>
      </c>
      <c r="E26" s="139">
        <v>-50.4</v>
      </c>
      <c r="F26" s="139">
        <v>6.1</v>
      </c>
      <c r="G26" s="140">
        <v>-54.1</v>
      </c>
      <c r="H26" s="139">
        <v>-0.4</v>
      </c>
      <c r="I26" s="140">
        <v>-54.5</v>
      </c>
    </row>
    <row r="27" spans="1:9" s="22" customFormat="1" ht="14.7" customHeight="1">
      <c r="A27" s="141" t="s">
        <v>216</v>
      </c>
      <c r="B27" s="142">
        <v>52.2</v>
      </c>
      <c r="C27" s="142">
        <v>14.4</v>
      </c>
      <c r="D27" s="142">
        <v>4.5</v>
      </c>
      <c r="E27" s="142">
        <v>7.3</v>
      </c>
      <c r="F27" s="142">
        <v>-0.9</v>
      </c>
      <c r="G27" s="143">
        <v>77.5</v>
      </c>
      <c r="H27" s="142">
        <v>-15.4</v>
      </c>
      <c r="I27" s="143">
        <v>62.1</v>
      </c>
    </row>
    <row r="28" spans="1:9" ht="14.7" customHeight="1">
      <c r="A28" s="74" t="s">
        <v>194</v>
      </c>
      <c r="B28" s="78">
        <v>-20.2</v>
      </c>
      <c r="C28" s="78">
        <v>-3.8</v>
      </c>
      <c r="D28" s="78">
        <v>-2.9</v>
      </c>
      <c r="E28" s="78">
        <v>-0.5</v>
      </c>
      <c r="F28" s="78">
        <v>-0.3</v>
      </c>
      <c r="G28" s="138">
        <v>-27.7</v>
      </c>
      <c r="H28" s="78">
        <v>0</v>
      </c>
      <c r="I28" s="138">
        <v>-27.7</v>
      </c>
    </row>
    <row r="29" spans="1:9" ht="26.4">
      <c r="A29" s="74" t="s">
        <v>195</v>
      </c>
      <c r="B29" s="78">
        <v>-0.8</v>
      </c>
      <c r="C29" s="78">
        <v>0</v>
      </c>
      <c r="D29" s="78">
        <v>0</v>
      </c>
      <c r="E29" s="78">
        <v>0</v>
      </c>
      <c r="F29" s="78">
        <v>-0.9</v>
      </c>
      <c r="G29" s="138">
        <v>-1.7</v>
      </c>
      <c r="H29" s="78">
        <v>0</v>
      </c>
      <c r="I29" s="138">
        <v>-1.7</v>
      </c>
    </row>
    <row r="30" spans="1:9" ht="26.4">
      <c r="A30" s="74" t="s">
        <v>144</v>
      </c>
      <c r="B30" s="78">
        <v>-0.2</v>
      </c>
      <c r="C30" s="78">
        <v>0</v>
      </c>
      <c r="D30" s="78">
        <v>0</v>
      </c>
      <c r="E30" s="78">
        <v>-0.5</v>
      </c>
      <c r="F30" s="78">
        <v>0.4</v>
      </c>
      <c r="G30" s="138">
        <v>-0.3</v>
      </c>
      <c r="H30" s="78">
        <v>0.3</v>
      </c>
      <c r="I30" s="138">
        <v>0</v>
      </c>
    </row>
    <row r="31" spans="1:9" ht="14.7" customHeight="1" thickBot="1">
      <c r="A31" s="121" t="s">
        <v>143</v>
      </c>
      <c r="B31" s="139">
        <v>0</v>
      </c>
      <c r="C31" s="139">
        <v>0</v>
      </c>
      <c r="D31" s="139">
        <v>0</v>
      </c>
      <c r="E31" s="139">
        <v>0</v>
      </c>
      <c r="F31" s="139">
        <v>0</v>
      </c>
      <c r="G31" s="140">
        <v>0</v>
      </c>
      <c r="H31" s="139">
        <v>-2.1</v>
      </c>
      <c r="I31" s="140">
        <v>-2.1</v>
      </c>
    </row>
    <row r="32" spans="1:9" s="22" customFormat="1" ht="14.7" customHeight="1">
      <c r="A32" s="141" t="s">
        <v>215</v>
      </c>
      <c r="B32" s="142">
        <v>31</v>
      </c>
      <c r="C32" s="142">
        <v>10.6</v>
      </c>
      <c r="D32" s="142">
        <v>1.6</v>
      </c>
      <c r="E32" s="142">
        <v>6.3</v>
      </c>
      <c r="F32" s="142">
        <v>-1.7</v>
      </c>
      <c r="G32" s="143">
        <v>47.8</v>
      </c>
      <c r="H32" s="142">
        <v>-17.2</v>
      </c>
      <c r="I32" s="143">
        <v>30.6</v>
      </c>
    </row>
    <row r="33" spans="1:9" ht="14.7" customHeight="1">
      <c r="A33" s="74" t="s">
        <v>196</v>
      </c>
      <c r="B33" s="144"/>
      <c r="C33" s="144"/>
      <c r="D33" s="145"/>
      <c r="E33" s="144"/>
      <c r="F33" s="144"/>
      <c r="G33" s="138">
        <v>-4.0999999999999996</v>
      </c>
      <c r="H33" s="78"/>
      <c r="I33" s="138">
        <v>-4.0999999999999996</v>
      </c>
    </row>
    <row r="34" spans="1:9" ht="14.7" customHeight="1" thickBot="1">
      <c r="A34" s="121" t="s">
        <v>197</v>
      </c>
      <c r="B34" s="146"/>
      <c r="C34" s="146"/>
      <c r="D34" s="147"/>
      <c r="E34" s="146"/>
      <c r="F34" s="146"/>
      <c r="G34" s="140">
        <v>-1.3</v>
      </c>
      <c r="H34" s="139">
        <v>-3.1</v>
      </c>
      <c r="I34" s="140">
        <v>-4.4000000000000004</v>
      </c>
    </row>
    <row r="35" spans="1:9" s="22" customFormat="1" ht="14.7" customHeight="1" thickBot="1">
      <c r="A35" s="115" t="s">
        <v>84</v>
      </c>
      <c r="B35" s="148"/>
      <c r="C35" s="148"/>
      <c r="D35" s="149"/>
      <c r="E35" s="150"/>
      <c r="F35" s="148"/>
      <c r="G35" s="151">
        <v>42.4</v>
      </c>
      <c r="H35" s="152">
        <v>-20.3</v>
      </c>
      <c r="I35" s="151">
        <v>22.1</v>
      </c>
    </row>
    <row r="36" spans="1:9" ht="14.7" customHeight="1">
      <c r="A36" s="372" t="s">
        <v>416</v>
      </c>
      <c r="B36" s="11"/>
      <c r="C36" s="11"/>
      <c r="D36" s="11"/>
      <c r="E36" s="11"/>
    </row>
    <row r="37" spans="1:9" ht="14.7" customHeight="1">
      <c r="A37" s="103"/>
      <c r="B37" s="11"/>
      <c r="C37" s="11"/>
      <c r="D37" s="11"/>
      <c r="E37" s="11"/>
    </row>
    <row r="38" spans="1:9" ht="14.7" customHeight="1">
      <c r="A38" s="32"/>
      <c r="B38" s="11"/>
      <c r="C38" s="11"/>
      <c r="D38" s="11"/>
      <c r="E38" s="11"/>
      <c r="F38" s="11"/>
    </row>
    <row r="39" spans="1:9" ht="14.7" customHeight="1">
      <c r="A39" s="605" t="s">
        <v>393</v>
      </c>
      <c r="B39" s="605"/>
      <c r="C39" s="605"/>
      <c r="D39" s="605"/>
      <c r="E39" s="605"/>
      <c r="F39" s="605"/>
    </row>
    <row r="40" spans="1:9" s="33" customFormat="1" ht="13.8">
      <c r="A40" s="57"/>
      <c r="B40" s="57"/>
      <c r="C40" s="57" t="s">
        <v>408</v>
      </c>
      <c r="D40" s="57" t="s">
        <v>241</v>
      </c>
      <c r="E40" s="80" t="s">
        <v>2</v>
      </c>
      <c r="F40" s="80" t="s">
        <v>3</v>
      </c>
    </row>
    <row r="41" spans="1:9" ht="14.7" customHeight="1">
      <c r="A41" s="104" t="s">
        <v>214</v>
      </c>
      <c r="B41" s="105"/>
      <c r="C41" s="106">
        <v>87.9</v>
      </c>
      <c r="D41" s="107">
        <v>62.1</v>
      </c>
      <c r="E41" s="108">
        <v>25.8</v>
      </c>
      <c r="F41" s="109">
        <v>0.41499999999999998</v>
      </c>
    </row>
    <row r="42" spans="1:9" s="23" customFormat="1" ht="14.7" customHeight="1">
      <c r="A42" s="154" t="s">
        <v>142</v>
      </c>
      <c r="B42" s="79"/>
      <c r="C42" s="76"/>
      <c r="D42" s="77"/>
      <c r="E42" s="89"/>
      <c r="F42" s="90"/>
    </row>
    <row r="43" spans="1:9" ht="14.7" customHeight="1">
      <c r="A43" s="74" t="s">
        <v>137</v>
      </c>
      <c r="B43" s="79"/>
      <c r="C43" s="76">
        <v>0.2</v>
      </c>
      <c r="D43" s="77">
        <v>-27.5</v>
      </c>
      <c r="E43" s="89">
        <v>27.7</v>
      </c>
      <c r="F43" s="90" t="s">
        <v>25</v>
      </c>
    </row>
    <row r="44" spans="1:9" ht="14.7" customHeight="1">
      <c r="A44" s="74" t="s">
        <v>138</v>
      </c>
      <c r="B44" s="79"/>
      <c r="C44" s="76">
        <v>-1.3</v>
      </c>
      <c r="D44" s="77">
        <v>40.700000000000003</v>
      </c>
      <c r="E44" s="89">
        <v>-42</v>
      </c>
      <c r="F44" s="90" t="s">
        <v>25</v>
      </c>
    </row>
    <row r="45" spans="1:9" ht="14.7" customHeight="1">
      <c r="A45" s="74" t="s">
        <v>139</v>
      </c>
      <c r="B45" s="79"/>
      <c r="C45" s="76">
        <v>2.7</v>
      </c>
      <c r="D45" s="77">
        <v>2.2999999999999998</v>
      </c>
      <c r="E45" s="89">
        <v>0.4</v>
      </c>
      <c r="F45" s="90">
        <v>0.17399999999999999</v>
      </c>
    </row>
    <row r="46" spans="1:9" ht="14.7" customHeight="1" thickBot="1">
      <c r="A46" s="91" t="s">
        <v>140</v>
      </c>
      <c r="B46" s="92"/>
      <c r="C46" s="93">
        <v>2.4</v>
      </c>
      <c r="D46" s="94">
        <v>-0.1</v>
      </c>
      <c r="E46" s="95">
        <v>2.5</v>
      </c>
      <c r="F46" s="96" t="s">
        <v>25</v>
      </c>
    </row>
    <row r="47" spans="1:9" ht="14.7" customHeight="1" thickBot="1">
      <c r="A47" s="97" t="s">
        <v>141</v>
      </c>
      <c r="B47" s="98"/>
      <c r="C47" s="99">
        <v>4</v>
      </c>
      <c r="D47" s="100">
        <v>15.4</v>
      </c>
      <c r="E47" s="101">
        <v>-11.4</v>
      </c>
      <c r="F47" s="102">
        <v>-0.74</v>
      </c>
    </row>
    <row r="48" spans="1:9" ht="14.7" customHeight="1" thickBot="1">
      <c r="A48" s="97" t="s">
        <v>218</v>
      </c>
      <c r="B48" s="98"/>
      <c r="C48" s="99">
        <v>91.9</v>
      </c>
      <c r="D48" s="100">
        <v>77.5</v>
      </c>
      <c r="E48" s="101">
        <v>14.4</v>
      </c>
      <c r="F48" s="102">
        <v>0.186</v>
      </c>
    </row>
    <row r="49" spans="1:6" s="23" customFormat="1" ht="14.7" customHeight="1">
      <c r="A49" s="121" t="s">
        <v>219</v>
      </c>
      <c r="B49" s="79"/>
      <c r="C49" s="122">
        <v>0.23100000000000001</v>
      </c>
      <c r="D49" s="123">
        <v>0.22800000000000001</v>
      </c>
      <c r="E49" s="110" t="s">
        <v>25</v>
      </c>
      <c r="F49" s="110" t="s">
        <v>419</v>
      </c>
    </row>
    <row r="50" spans="1:6" ht="14.7" customHeight="1">
      <c r="A50" s="124"/>
    </row>
    <row r="52" spans="1:6" ht="14.7" customHeight="1">
      <c r="A52" s="605" t="s">
        <v>394</v>
      </c>
      <c r="B52" s="605"/>
      <c r="C52" s="605"/>
      <c r="D52" s="605"/>
      <c r="E52" s="605"/>
      <c r="F52" s="605"/>
    </row>
    <row r="53" spans="1:6" s="33" customFormat="1" ht="13.8">
      <c r="A53" s="57"/>
      <c r="B53" s="57"/>
      <c r="C53" s="57" t="s">
        <v>408</v>
      </c>
      <c r="D53" s="57" t="s">
        <v>241</v>
      </c>
      <c r="E53" s="80" t="s">
        <v>2</v>
      </c>
      <c r="F53" s="80" t="s">
        <v>3</v>
      </c>
    </row>
    <row r="54" spans="1:6" ht="14.7" customHeight="1">
      <c r="A54" s="104" t="s">
        <v>215</v>
      </c>
      <c r="B54" s="105"/>
      <c r="C54" s="106">
        <v>51.3</v>
      </c>
      <c r="D54" s="107">
        <v>30.6</v>
      </c>
      <c r="E54" s="108">
        <v>20.7</v>
      </c>
      <c r="F54" s="109">
        <v>0.67600000000000005</v>
      </c>
    </row>
    <row r="55" spans="1:6" s="23" customFormat="1" ht="14.7" customHeight="1">
      <c r="A55" s="154" t="s">
        <v>142</v>
      </c>
      <c r="B55" s="79"/>
      <c r="C55" s="76"/>
      <c r="D55" s="77"/>
      <c r="E55" s="89"/>
      <c r="F55" s="90"/>
    </row>
    <row r="56" spans="1:6" ht="14.7" customHeight="1">
      <c r="A56" s="74" t="s">
        <v>141</v>
      </c>
      <c r="B56" s="79"/>
      <c r="C56" s="76">
        <v>4</v>
      </c>
      <c r="D56" s="77">
        <v>15.4</v>
      </c>
      <c r="E56" s="89">
        <v>-11.4</v>
      </c>
      <c r="F56" s="90">
        <v>-0.74</v>
      </c>
    </row>
    <row r="57" spans="1:6" ht="14.7" customHeight="1">
      <c r="A57" s="74" t="s">
        <v>143</v>
      </c>
      <c r="B57" s="79"/>
      <c r="C57" s="76">
        <v>6.2</v>
      </c>
      <c r="D57" s="77">
        <v>2.1</v>
      </c>
      <c r="E57" s="89">
        <v>4.0999999999999996</v>
      </c>
      <c r="F57" s="90">
        <v>1.952</v>
      </c>
    </row>
    <row r="58" spans="1:6" ht="27" thickBot="1">
      <c r="A58" s="91" t="s">
        <v>144</v>
      </c>
      <c r="B58" s="92"/>
      <c r="C58" s="93">
        <v>-0.2</v>
      </c>
      <c r="D58" s="94">
        <v>-0.3</v>
      </c>
      <c r="E58" s="95">
        <v>0.1</v>
      </c>
      <c r="F58" s="96">
        <v>-0.33300000000000002</v>
      </c>
    </row>
    <row r="59" spans="1:6" ht="14.7" customHeight="1" thickBot="1">
      <c r="A59" s="97" t="s">
        <v>145</v>
      </c>
      <c r="B59" s="98"/>
      <c r="C59" s="99">
        <v>9.9</v>
      </c>
      <c r="D59" s="100">
        <v>17.2</v>
      </c>
      <c r="E59" s="101">
        <v>-7.3</v>
      </c>
      <c r="F59" s="102">
        <v>-0.42399999999999999</v>
      </c>
    </row>
    <row r="60" spans="1:6" ht="14.7" customHeight="1" thickBot="1">
      <c r="A60" s="97" t="s">
        <v>220</v>
      </c>
      <c r="B60" s="98"/>
      <c r="C60" s="99">
        <v>61.3</v>
      </c>
      <c r="D60" s="100">
        <v>47.8</v>
      </c>
      <c r="E60" s="101">
        <v>13.5</v>
      </c>
      <c r="F60" s="102">
        <v>0.28199999999999997</v>
      </c>
    </row>
    <row r="63" spans="1:6" ht="14.7" customHeight="1">
      <c r="A63" s="605" t="s">
        <v>397</v>
      </c>
      <c r="B63" s="605"/>
      <c r="C63" s="605"/>
      <c r="D63" s="605"/>
      <c r="E63" s="605"/>
      <c r="F63" s="605"/>
    </row>
    <row r="64" spans="1:6" s="33" customFormat="1" ht="13.8">
      <c r="A64" s="57"/>
      <c r="B64" s="57"/>
      <c r="C64" s="57" t="s">
        <v>408</v>
      </c>
      <c r="D64" s="57" t="s">
        <v>241</v>
      </c>
      <c r="E64" s="80" t="s">
        <v>2</v>
      </c>
      <c r="F64" s="80" t="s">
        <v>3</v>
      </c>
    </row>
    <row r="65" spans="1:6" ht="14.7" customHeight="1">
      <c r="A65" s="104" t="s">
        <v>84</v>
      </c>
      <c r="B65" s="105"/>
      <c r="C65" s="106">
        <v>37.1</v>
      </c>
      <c r="D65" s="107">
        <v>22.1</v>
      </c>
      <c r="E65" s="108">
        <v>15</v>
      </c>
      <c r="F65" s="109">
        <v>0.67900000000000005</v>
      </c>
    </row>
    <row r="66" spans="1:6" s="23" customFormat="1" ht="14.7" customHeight="1">
      <c r="A66" s="154" t="s">
        <v>142</v>
      </c>
      <c r="B66" s="79"/>
      <c r="C66" s="76"/>
      <c r="D66" s="77"/>
      <c r="E66" s="89"/>
      <c r="F66" s="90"/>
    </row>
    <row r="67" spans="1:6" ht="14.7" customHeight="1">
      <c r="A67" s="74" t="s">
        <v>141</v>
      </c>
      <c r="B67" s="79"/>
      <c r="C67" s="76">
        <v>9.9</v>
      </c>
      <c r="D67" s="77">
        <v>17.2</v>
      </c>
      <c r="E67" s="89">
        <v>-7.3</v>
      </c>
      <c r="F67" s="90">
        <v>-0.42399999999999999</v>
      </c>
    </row>
    <row r="68" spans="1:6" ht="14.7" customHeight="1" thickBot="1">
      <c r="A68" s="91" t="s">
        <v>146</v>
      </c>
      <c r="B68" s="92"/>
      <c r="C68" s="93">
        <v>-1.5</v>
      </c>
      <c r="D68" s="94">
        <v>3.1</v>
      </c>
      <c r="E68" s="95">
        <v>-4.5999999999999996</v>
      </c>
      <c r="F68" s="96" t="s">
        <v>25</v>
      </c>
    </row>
    <row r="69" spans="1:6" ht="14.7" customHeight="1" thickBot="1">
      <c r="A69" s="97" t="s">
        <v>147</v>
      </c>
      <c r="B69" s="98"/>
      <c r="C69" s="99">
        <v>8.4</v>
      </c>
      <c r="D69" s="100">
        <v>20.3</v>
      </c>
      <c r="E69" s="101">
        <v>-11.9</v>
      </c>
      <c r="F69" s="102">
        <v>-0.58599999999999997</v>
      </c>
    </row>
    <row r="70" spans="1:6" ht="14.7" customHeight="1" thickBot="1">
      <c r="A70" s="97" t="s">
        <v>221</v>
      </c>
      <c r="B70" s="98"/>
      <c r="C70" s="99">
        <v>45.5</v>
      </c>
      <c r="D70" s="100">
        <v>42.4</v>
      </c>
      <c r="E70" s="101">
        <v>3.1</v>
      </c>
      <c r="F70" s="102">
        <v>7.2999999999999995E-2</v>
      </c>
    </row>
    <row r="71" spans="1:6" s="23" customFormat="1" ht="14.7" customHeight="1">
      <c r="A71" s="121" t="s">
        <v>395</v>
      </c>
      <c r="B71" s="79"/>
      <c r="C71" s="122">
        <v>8.1000000000000003E-2</v>
      </c>
      <c r="D71" s="123">
        <v>8.6999999999999994E-2</v>
      </c>
      <c r="E71" s="110" t="s">
        <v>25</v>
      </c>
      <c r="F71" s="110" t="s">
        <v>404</v>
      </c>
    </row>
    <row r="72" spans="1:6" s="23" customFormat="1" ht="14.7" customHeight="1">
      <c r="A72" s="121" t="s">
        <v>396</v>
      </c>
      <c r="B72" s="79"/>
      <c r="C72" s="122">
        <v>0.115</v>
      </c>
      <c r="D72" s="123">
        <v>4.8000000000000001E-2</v>
      </c>
      <c r="E72" s="110" t="s">
        <v>25</v>
      </c>
      <c r="F72" s="110" t="s">
        <v>420</v>
      </c>
    </row>
    <row r="73" spans="1:6" ht="14.7" customHeight="1">
      <c r="A73" s="121"/>
      <c r="B73" s="155"/>
      <c r="C73" s="155"/>
      <c r="D73" s="155"/>
      <c r="E73" s="155"/>
      <c r="F73" s="155"/>
    </row>
  </sheetData>
  <mergeCells count="7">
    <mergeCell ref="A52:F52"/>
    <mergeCell ref="A63:F63"/>
    <mergeCell ref="A2:F2"/>
    <mergeCell ref="G2:I2"/>
    <mergeCell ref="B6:F6"/>
    <mergeCell ref="B21:F21"/>
    <mergeCell ref="A39:F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26"/>
  <sheetViews>
    <sheetView zoomScale="80" zoomScaleNormal="80" workbookViewId="0"/>
  </sheetViews>
  <sheetFormatPr defaultColWidth="9.109375" defaultRowHeight="14.7" customHeight="1"/>
  <cols>
    <col min="1" max="1" width="55.6640625" style="12" customWidth="1"/>
    <col min="2" max="2" width="13.6640625" style="41" customWidth="1"/>
    <col min="3" max="4" width="13.6640625" style="12" customWidth="1"/>
    <col min="5" max="6" width="13.6640625" style="3" customWidth="1"/>
    <col min="7" max="7" width="12.6640625" style="12" customWidth="1"/>
    <col min="8" max="16384" width="9.109375" style="12"/>
  </cols>
  <sheetData>
    <row r="1" spans="1:7" ht="39.9" customHeight="1">
      <c r="A1" s="156" t="s">
        <v>86</v>
      </c>
      <c r="B1" s="40"/>
      <c r="C1" s="11"/>
      <c r="D1" s="11"/>
    </row>
    <row r="2" spans="1:7" ht="39.9" customHeight="1" thickBot="1">
      <c r="A2" s="606" t="s">
        <v>470</v>
      </c>
      <c r="B2" s="606"/>
      <c r="C2" s="606"/>
      <c r="D2" s="303"/>
      <c r="E2" s="303"/>
      <c r="F2" s="81"/>
    </row>
    <row r="3" spans="1:7" ht="14.7" customHeight="1">
      <c r="A3" s="26"/>
      <c r="B3" s="43"/>
      <c r="C3" s="26"/>
      <c r="D3" s="26"/>
      <c r="E3" s="45"/>
      <c r="F3" s="45"/>
      <c r="G3" s="15"/>
    </row>
    <row r="4" spans="1:7" ht="14.7" customHeight="1">
      <c r="A4" s="605" t="s">
        <v>87</v>
      </c>
      <c r="B4" s="605"/>
      <c r="C4" s="605"/>
      <c r="D4" s="605"/>
      <c r="E4" s="12"/>
      <c r="F4" s="12"/>
    </row>
    <row r="5" spans="1:7" s="33" customFormat="1" ht="13.8">
      <c r="A5" s="57"/>
      <c r="B5" s="57"/>
      <c r="C5" s="57" t="s">
        <v>408</v>
      </c>
      <c r="D5" s="57" t="s">
        <v>241</v>
      </c>
      <c r="E5" s="57" t="s">
        <v>2</v>
      </c>
      <c r="F5" s="57" t="s">
        <v>3</v>
      </c>
    </row>
    <row r="6" spans="1:7" ht="14.7" customHeight="1">
      <c r="A6" s="157" t="s">
        <v>88</v>
      </c>
      <c r="B6" s="105"/>
      <c r="C6" s="106"/>
      <c r="D6" s="107"/>
      <c r="E6" s="107"/>
      <c r="F6" s="107"/>
    </row>
    <row r="7" spans="1:7" ht="14.7" customHeight="1">
      <c r="A7" s="112" t="s">
        <v>89</v>
      </c>
      <c r="B7" s="158" t="s">
        <v>13</v>
      </c>
      <c r="C7" s="166">
        <v>1350</v>
      </c>
      <c r="D7" s="373">
        <v>1287</v>
      </c>
      <c r="E7" s="373">
        <v>63</v>
      </c>
      <c r="F7" s="161">
        <v>4.9000000000000002E-2</v>
      </c>
    </row>
    <row r="8" spans="1:7" ht="14.7" customHeight="1">
      <c r="A8" s="162" t="s">
        <v>90</v>
      </c>
      <c r="B8" s="163" t="s">
        <v>13</v>
      </c>
      <c r="C8" s="166">
        <v>1120</v>
      </c>
      <c r="D8" s="167">
        <v>1077</v>
      </c>
      <c r="E8" s="168">
        <v>43</v>
      </c>
      <c r="F8" s="161">
        <v>0.04</v>
      </c>
    </row>
    <row r="9" spans="1:7" ht="14.7" customHeight="1">
      <c r="A9" s="162" t="s">
        <v>91</v>
      </c>
      <c r="B9" s="163" t="s">
        <v>13</v>
      </c>
      <c r="C9" s="166">
        <v>230</v>
      </c>
      <c r="D9" s="167">
        <v>210</v>
      </c>
      <c r="E9" s="168">
        <v>20</v>
      </c>
      <c r="F9" s="161">
        <v>9.5000000000000001E-2</v>
      </c>
    </row>
    <row r="10" spans="1:7" ht="14.7" customHeight="1">
      <c r="A10" s="112" t="s">
        <v>92</v>
      </c>
      <c r="B10" s="158" t="s">
        <v>11</v>
      </c>
      <c r="C10" s="169">
        <v>2.72</v>
      </c>
      <c r="D10" s="170">
        <v>2.5299999999999998</v>
      </c>
      <c r="E10" s="170">
        <v>0.2</v>
      </c>
      <c r="F10" s="161">
        <v>7.6999999999999999E-2</v>
      </c>
    </row>
    <row r="11" spans="1:7" ht="14.7" customHeight="1">
      <c r="A11" s="112" t="s">
        <v>73</v>
      </c>
      <c r="B11" s="158" t="s">
        <v>11</v>
      </c>
      <c r="C11" s="169">
        <v>0.56999999999999995</v>
      </c>
      <c r="D11" s="170">
        <v>0.39</v>
      </c>
      <c r="E11" s="170">
        <v>0.18</v>
      </c>
      <c r="F11" s="161">
        <v>0.45500000000000002</v>
      </c>
    </row>
    <row r="12" spans="1:7" ht="14.7" customHeight="1">
      <c r="A12" s="162" t="s">
        <v>93</v>
      </c>
      <c r="B12" s="163" t="s">
        <v>11</v>
      </c>
      <c r="C12" s="169">
        <v>0.35</v>
      </c>
      <c r="D12" s="170">
        <v>0.34</v>
      </c>
      <c r="E12" s="170">
        <v>0.01</v>
      </c>
      <c r="F12" s="161">
        <v>0.02</v>
      </c>
    </row>
    <row r="13" spans="1:7" ht="14.7" customHeight="1">
      <c r="A13" s="162" t="s">
        <v>94</v>
      </c>
      <c r="B13" s="163" t="s">
        <v>5</v>
      </c>
      <c r="C13" s="171">
        <v>0.61</v>
      </c>
      <c r="D13" s="172">
        <v>0.871</v>
      </c>
      <c r="E13" s="173"/>
      <c r="F13" s="161" t="s">
        <v>421</v>
      </c>
    </row>
    <row r="14" spans="1:7" ht="14.7" customHeight="1">
      <c r="A14" s="112" t="s">
        <v>95</v>
      </c>
      <c r="B14" s="158" t="s">
        <v>11</v>
      </c>
      <c r="C14" s="169">
        <v>1.81</v>
      </c>
      <c r="D14" s="170">
        <v>1.71</v>
      </c>
      <c r="E14" s="170">
        <v>0.1</v>
      </c>
      <c r="F14" s="161">
        <v>0.06</v>
      </c>
    </row>
    <row r="15" spans="1:7" ht="14.7" customHeight="1">
      <c r="A15" s="112" t="s">
        <v>10</v>
      </c>
      <c r="B15" s="158" t="s">
        <v>41</v>
      </c>
      <c r="C15" s="169">
        <v>0.38</v>
      </c>
      <c r="D15" s="170">
        <v>0.45</v>
      </c>
      <c r="E15" s="170">
        <v>-7.0000000000000007E-2</v>
      </c>
      <c r="F15" s="161">
        <v>-0.152</v>
      </c>
    </row>
    <row r="16" spans="1:7" ht="14.7" customHeight="1">
      <c r="A16" s="112" t="s">
        <v>9</v>
      </c>
      <c r="B16" s="158" t="s">
        <v>12</v>
      </c>
      <c r="C16" s="169">
        <v>100.7</v>
      </c>
      <c r="D16" s="170">
        <v>143.69999999999999</v>
      </c>
      <c r="E16" s="170">
        <v>-43</v>
      </c>
      <c r="F16" s="161">
        <v>-0.29899999999999999</v>
      </c>
    </row>
    <row r="17" spans="1:7" ht="14.7" customHeight="1">
      <c r="A17" s="157" t="s">
        <v>96</v>
      </c>
      <c r="B17" s="105"/>
      <c r="C17" s="106"/>
      <c r="D17" s="107"/>
      <c r="E17" s="107"/>
      <c r="F17" s="107"/>
    </row>
    <row r="18" spans="1:7" ht="14.7" customHeight="1">
      <c r="A18" s="112" t="s">
        <v>89</v>
      </c>
      <c r="B18" s="158" t="s">
        <v>13</v>
      </c>
      <c r="C18" s="166">
        <v>339</v>
      </c>
      <c r="D18" s="373">
        <v>339</v>
      </c>
      <c r="E18" s="159">
        <v>0</v>
      </c>
      <c r="F18" s="161" t="s">
        <v>413</v>
      </c>
    </row>
    <row r="19" spans="1:7" ht="14.7" customHeight="1">
      <c r="A19" s="162" t="s">
        <v>90</v>
      </c>
      <c r="B19" s="163" t="s">
        <v>13</v>
      </c>
      <c r="C19" s="166">
        <v>170</v>
      </c>
      <c r="D19" s="164">
        <v>40</v>
      </c>
      <c r="E19" s="165">
        <v>130</v>
      </c>
      <c r="F19" s="174">
        <v>3.25</v>
      </c>
    </row>
    <row r="20" spans="1:7" ht="14.7" customHeight="1">
      <c r="A20" s="162" t="s">
        <v>91</v>
      </c>
      <c r="B20" s="163" t="s">
        <v>13</v>
      </c>
      <c r="C20" s="166">
        <v>169</v>
      </c>
      <c r="D20" s="167">
        <v>299</v>
      </c>
      <c r="E20" s="168">
        <v>-130</v>
      </c>
      <c r="F20" s="175">
        <v>-0.435</v>
      </c>
    </row>
    <row r="21" spans="1:7" ht="14.7" customHeight="1">
      <c r="A21" s="112" t="s">
        <v>97</v>
      </c>
      <c r="B21" s="158" t="s">
        <v>11</v>
      </c>
      <c r="C21" s="169">
        <v>0.23</v>
      </c>
      <c r="D21" s="170">
        <v>0.06</v>
      </c>
      <c r="E21" s="170">
        <v>0.17</v>
      </c>
      <c r="F21" s="176" t="s">
        <v>422</v>
      </c>
    </row>
    <row r="22" spans="1:7" ht="14.7" customHeight="1">
      <c r="A22" s="157" t="s">
        <v>70</v>
      </c>
      <c r="B22" s="105"/>
      <c r="C22" s="106"/>
      <c r="D22" s="107"/>
      <c r="E22" s="107"/>
      <c r="F22" s="107"/>
      <c r="G22" s="10"/>
    </row>
    <row r="23" spans="1:7" ht="14.7" customHeight="1">
      <c r="A23" s="112" t="s">
        <v>43</v>
      </c>
      <c r="B23" s="158" t="s">
        <v>11</v>
      </c>
      <c r="C23" s="169">
        <v>3.32</v>
      </c>
      <c r="D23" s="170">
        <v>2.41</v>
      </c>
      <c r="E23" s="170">
        <v>0.92</v>
      </c>
      <c r="F23" s="161">
        <v>0.38100000000000001</v>
      </c>
    </row>
    <row r="24" spans="1:7" ht="14.7" customHeight="1">
      <c r="A24" s="112" t="s">
        <v>98</v>
      </c>
      <c r="B24" s="158" t="s">
        <v>11</v>
      </c>
      <c r="C24" s="169">
        <v>5.6</v>
      </c>
      <c r="D24" s="170">
        <v>4.26</v>
      </c>
      <c r="E24" s="170">
        <v>1.34</v>
      </c>
      <c r="F24" s="161">
        <v>0.314</v>
      </c>
    </row>
    <row r="25" spans="1:7" ht="14.7" customHeight="1">
      <c r="A25" s="112" t="s">
        <v>10</v>
      </c>
      <c r="B25" s="158" t="s">
        <v>41</v>
      </c>
      <c r="C25" s="169">
        <v>3.0000000000000001E-3</v>
      </c>
      <c r="D25" s="170">
        <v>1E-3</v>
      </c>
      <c r="E25" s="170">
        <v>2E-3</v>
      </c>
      <c r="F25" s="161">
        <v>1.9770000000000001</v>
      </c>
    </row>
    <row r="26" spans="1:7" ht="14.7" customHeight="1">
      <c r="A26" s="112" t="s">
        <v>9</v>
      </c>
      <c r="B26" s="158" t="s">
        <v>12</v>
      </c>
      <c r="C26" s="169">
        <v>0.18</v>
      </c>
      <c r="D26" s="170">
        <v>0.05</v>
      </c>
      <c r="E26" s="170">
        <v>0.13</v>
      </c>
      <c r="F26" s="161" t="s">
        <v>423</v>
      </c>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H65"/>
  <sheetViews>
    <sheetView showGridLines="0" zoomScale="80" zoomScaleNormal="80" workbookViewId="0"/>
  </sheetViews>
  <sheetFormatPr defaultColWidth="9.109375" defaultRowHeight="14.7" customHeight="1"/>
  <cols>
    <col min="1" max="1" width="59.88671875" style="12" customWidth="1"/>
    <col min="2" max="2" width="13.6640625" style="41" customWidth="1"/>
    <col min="3" max="6" width="13.6640625" style="12" customWidth="1"/>
    <col min="7" max="16384" width="9.109375" style="12"/>
  </cols>
  <sheetData>
    <row r="1" spans="1:8" ht="39.9" customHeight="1">
      <c r="A1" s="156" t="s">
        <v>86</v>
      </c>
      <c r="B1" s="204"/>
      <c r="C1" s="204"/>
      <c r="D1" s="156"/>
      <c r="E1" s="204"/>
      <c r="F1" s="204"/>
      <c r="H1" s="16"/>
    </row>
    <row r="2" spans="1:8" ht="39.9" customHeight="1" thickBot="1">
      <c r="A2" s="606" t="s">
        <v>471</v>
      </c>
      <c r="B2" s="606"/>
      <c r="C2" s="606"/>
      <c r="D2" s="606"/>
      <c r="E2" s="606"/>
      <c r="F2" s="606"/>
    </row>
    <row r="3" spans="1:8" ht="14.7" customHeight="1">
      <c r="A3" s="11"/>
      <c r="B3" s="40"/>
      <c r="C3" s="11"/>
      <c r="D3" s="11"/>
      <c r="E3" s="11"/>
    </row>
    <row r="4" spans="1:8" ht="14.7" customHeight="1">
      <c r="A4" s="605" t="s">
        <v>373</v>
      </c>
      <c r="B4" s="605"/>
      <c r="C4" s="605"/>
      <c r="D4" s="605"/>
      <c r="E4" s="605"/>
      <c r="F4" s="605"/>
    </row>
    <row r="5" spans="1:8" s="33" customFormat="1" ht="13.8">
      <c r="A5" s="57"/>
      <c r="B5" s="57"/>
      <c r="C5" s="57" t="s">
        <v>408</v>
      </c>
      <c r="D5" s="57" t="s">
        <v>241</v>
      </c>
      <c r="E5" s="80" t="s">
        <v>23</v>
      </c>
      <c r="F5" s="80" t="s">
        <v>3</v>
      </c>
    </row>
    <row r="6" spans="1:8" ht="14.7" customHeight="1">
      <c r="A6" s="111" t="s">
        <v>48</v>
      </c>
      <c r="B6" s="71" t="s">
        <v>53</v>
      </c>
      <c r="C6" s="72">
        <v>146.30000000000001</v>
      </c>
      <c r="D6" s="73">
        <v>128.1</v>
      </c>
      <c r="E6" s="87">
        <v>18.2</v>
      </c>
      <c r="F6" s="88">
        <v>0.14199999999999999</v>
      </c>
    </row>
    <row r="7" spans="1:8" ht="14.7" customHeight="1">
      <c r="A7" s="111" t="s">
        <v>116</v>
      </c>
      <c r="B7" s="71" t="s">
        <v>53</v>
      </c>
      <c r="C7" s="72">
        <v>59.3</v>
      </c>
      <c r="D7" s="73">
        <v>52.2</v>
      </c>
      <c r="E7" s="87">
        <v>7.1</v>
      </c>
      <c r="F7" s="88">
        <v>0.13600000000000001</v>
      </c>
    </row>
    <row r="8" spans="1:8" ht="14.7" customHeight="1">
      <c r="A8" s="111" t="s">
        <v>214</v>
      </c>
      <c r="B8" s="71" t="s">
        <v>53</v>
      </c>
      <c r="C8" s="72">
        <v>57.6</v>
      </c>
      <c r="D8" s="73">
        <v>53.4</v>
      </c>
      <c r="E8" s="87">
        <v>4.2</v>
      </c>
      <c r="F8" s="88">
        <v>7.9000000000000001E-2</v>
      </c>
    </row>
    <row r="9" spans="1:8" ht="14.7" customHeight="1">
      <c r="A9" s="111" t="s">
        <v>117</v>
      </c>
      <c r="B9" s="71" t="s">
        <v>53</v>
      </c>
      <c r="C9" s="72">
        <v>38.9</v>
      </c>
      <c r="D9" s="73">
        <v>31</v>
      </c>
      <c r="E9" s="87">
        <v>7.9</v>
      </c>
      <c r="F9" s="88">
        <v>0.255</v>
      </c>
    </row>
    <row r="10" spans="1:8" ht="14.7" customHeight="1">
      <c r="A10" s="111" t="s">
        <v>215</v>
      </c>
      <c r="B10" s="71" t="s">
        <v>53</v>
      </c>
      <c r="C10" s="72">
        <v>37.299999999999997</v>
      </c>
      <c r="D10" s="73">
        <v>32.4</v>
      </c>
      <c r="E10" s="87">
        <v>4.9000000000000004</v>
      </c>
      <c r="F10" s="88">
        <v>0.151</v>
      </c>
    </row>
    <row r="11" spans="1:8" ht="14.7" customHeight="1">
      <c r="A11" s="111" t="s">
        <v>119</v>
      </c>
      <c r="B11" s="71" t="s">
        <v>53</v>
      </c>
      <c r="C11" s="72">
        <v>19.8</v>
      </c>
      <c r="D11" s="73">
        <v>24.3</v>
      </c>
      <c r="E11" s="87">
        <v>-4.5</v>
      </c>
      <c r="F11" s="88">
        <v>-0.185</v>
      </c>
    </row>
    <row r="12" spans="1:8" ht="14.7" customHeight="1">
      <c r="A12" s="111" t="s">
        <v>120</v>
      </c>
      <c r="B12" s="71" t="s">
        <v>5</v>
      </c>
      <c r="C12" s="180">
        <v>0.40100000000000002</v>
      </c>
      <c r="D12" s="181">
        <v>0.41199999999999998</v>
      </c>
      <c r="E12" s="182" t="s">
        <v>25</v>
      </c>
      <c r="F12" s="88" t="s">
        <v>424</v>
      </c>
    </row>
    <row r="13" spans="1:8" s="33" customFormat="1" ht="13.8">
      <c r="A13" s="57"/>
      <c r="B13" s="57"/>
      <c r="C13" s="57" t="s">
        <v>425</v>
      </c>
      <c r="D13" s="57" t="s">
        <v>426</v>
      </c>
      <c r="E13" s="80" t="s">
        <v>23</v>
      </c>
      <c r="F13" s="80" t="s">
        <v>26</v>
      </c>
    </row>
    <row r="14" spans="1:8" ht="14.7" customHeight="1">
      <c r="A14" s="111" t="s">
        <v>49</v>
      </c>
      <c r="B14" s="71" t="s">
        <v>53</v>
      </c>
      <c r="C14" s="72">
        <v>1616.3</v>
      </c>
      <c r="D14" s="73">
        <v>1616.9</v>
      </c>
      <c r="E14" s="87">
        <v>-0.6</v>
      </c>
      <c r="F14" s="88">
        <v>0</v>
      </c>
    </row>
    <row r="15" spans="1:8" ht="14.7" customHeight="1">
      <c r="A15" s="111" t="s">
        <v>118</v>
      </c>
      <c r="B15" s="71" t="s">
        <v>53</v>
      </c>
      <c r="C15" s="72">
        <v>645</v>
      </c>
      <c r="D15" s="73">
        <v>680.7</v>
      </c>
      <c r="E15" s="87">
        <v>-35.700000000000003</v>
      </c>
      <c r="F15" s="88">
        <v>-5.1999999999999998E-2</v>
      </c>
    </row>
    <row r="16" spans="1:8" ht="14.7" customHeight="1">
      <c r="A16" s="11"/>
      <c r="B16" s="40"/>
      <c r="C16" s="11"/>
      <c r="D16" s="11"/>
      <c r="E16" s="11"/>
    </row>
    <row r="17" spans="1:6" ht="14.7" customHeight="1">
      <c r="A17" s="11"/>
      <c r="B17" s="40"/>
      <c r="C17" s="11"/>
      <c r="D17" s="11"/>
      <c r="E17" s="11"/>
    </row>
    <row r="18" spans="1:6" ht="14.7" customHeight="1">
      <c r="A18" s="605" t="s">
        <v>47</v>
      </c>
      <c r="B18" s="605"/>
      <c r="C18" s="605"/>
      <c r="D18" s="605"/>
      <c r="E18" s="605"/>
      <c r="F18" s="605"/>
    </row>
    <row r="19" spans="1:6" s="33" customFormat="1" ht="13.8">
      <c r="A19" s="57"/>
      <c r="B19" s="57"/>
      <c r="C19" s="57" t="s">
        <v>408</v>
      </c>
      <c r="D19" s="57" t="s">
        <v>241</v>
      </c>
      <c r="E19" s="80" t="s">
        <v>23</v>
      </c>
      <c r="F19" s="80" t="s">
        <v>3</v>
      </c>
    </row>
    <row r="20" spans="1:6" s="22" customFormat="1" ht="14.7" customHeight="1">
      <c r="A20" s="157" t="s">
        <v>28</v>
      </c>
      <c r="B20" s="205"/>
      <c r="C20" s="106"/>
      <c r="D20" s="107"/>
      <c r="E20" s="108"/>
      <c r="F20" s="109"/>
    </row>
    <row r="21" spans="1:6" ht="14.7" customHeight="1">
      <c r="A21" s="111" t="s">
        <v>29</v>
      </c>
      <c r="B21" s="71" t="s">
        <v>11</v>
      </c>
      <c r="C21" s="177">
        <v>2.72</v>
      </c>
      <c r="D21" s="178">
        <v>2.5299999999999998</v>
      </c>
      <c r="E21" s="189">
        <v>-0.2</v>
      </c>
      <c r="F21" s="88">
        <v>7.6999999999999999E-2</v>
      </c>
    </row>
    <row r="22" spans="1:6" ht="14.7" customHeight="1">
      <c r="A22" s="111" t="s">
        <v>30</v>
      </c>
      <c r="B22" s="71" t="s">
        <v>31</v>
      </c>
      <c r="C22" s="177">
        <v>126.24</v>
      </c>
      <c r="D22" s="178">
        <v>125.63</v>
      </c>
      <c r="E22" s="179">
        <v>0.61</v>
      </c>
      <c r="F22" s="88">
        <v>5.0000000000000001E-3</v>
      </c>
    </row>
    <row r="23" spans="1:6" ht="14.7" customHeight="1">
      <c r="A23" s="111" t="s">
        <v>32</v>
      </c>
      <c r="B23" s="71" t="s">
        <v>5</v>
      </c>
      <c r="C23" s="180">
        <v>6.4000000000000001E-2</v>
      </c>
      <c r="D23" s="181">
        <v>6.3E-2</v>
      </c>
      <c r="E23" s="182">
        <v>0</v>
      </c>
      <c r="F23" s="182" t="s">
        <v>427</v>
      </c>
    </row>
    <row r="24" spans="1:6" ht="14.7" customHeight="1">
      <c r="A24" s="111" t="s">
        <v>33</v>
      </c>
      <c r="B24" s="71" t="s">
        <v>34</v>
      </c>
      <c r="C24" s="183">
        <v>1781.89</v>
      </c>
      <c r="D24" s="184">
        <v>1759.31</v>
      </c>
      <c r="E24" s="185">
        <v>22.58</v>
      </c>
      <c r="F24" s="186">
        <v>1.2999999999999999E-2</v>
      </c>
    </row>
    <row r="25" spans="1:6" ht="14.7" customHeight="1">
      <c r="A25" s="220" t="s">
        <v>35</v>
      </c>
      <c r="B25" s="71" t="s">
        <v>34</v>
      </c>
      <c r="C25" s="187">
        <v>11.84</v>
      </c>
      <c r="D25" s="188">
        <v>6.53</v>
      </c>
      <c r="E25" s="189">
        <v>5.31</v>
      </c>
      <c r="F25" s="190">
        <v>0.81299999999999994</v>
      </c>
    </row>
    <row r="26" spans="1:6" ht="14.7" customHeight="1">
      <c r="A26" s="111" t="s">
        <v>36</v>
      </c>
      <c r="B26" s="71" t="s">
        <v>34</v>
      </c>
      <c r="C26" s="191">
        <v>5.16</v>
      </c>
      <c r="D26" s="192">
        <v>4.78</v>
      </c>
      <c r="E26" s="193">
        <v>0.39</v>
      </c>
      <c r="F26" s="88">
        <v>8.1000000000000003E-2</v>
      </c>
    </row>
    <row r="27" spans="1:6" ht="14.7" customHeight="1">
      <c r="A27" s="111" t="s">
        <v>37</v>
      </c>
      <c r="B27" s="71" t="s">
        <v>34</v>
      </c>
      <c r="C27" s="194">
        <v>4.9800000000000004</v>
      </c>
      <c r="D27" s="195">
        <v>3.78</v>
      </c>
      <c r="E27" s="196">
        <v>1.2</v>
      </c>
      <c r="F27" s="197">
        <v>0.31900000000000001</v>
      </c>
    </row>
    <row r="28" spans="1:6" ht="14.7" customHeight="1">
      <c r="A28" s="111" t="s">
        <v>38</v>
      </c>
      <c r="B28" s="71" t="s">
        <v>13</v>
      </c>
      <c r="C28" s="187">
        <v>117.17</v>
      </c>
      <c r="D28" s="188">
        <v>90.56</v>
      </c>
      <c r="E28" s="189">
        <v>26.61</v>
      </c>
      <c r="F28" s="190">
        <v>0.29399999999999998</v>
      </c>
    </row>
    <row r="29" spans="1:6" ht="14.7" customHeight="1">
      <c r="A29" s="111" t="s">
        <v>39</v>
      </c>
      <c r="B29" s="71" t="s">
        <v>40</v>
      </c>
      <c r="C29" s="187">
        <v>38.659999999999997</v>
      </c>
      <c r="D29" s="188">
        <v>27.5</v>
      </c>
      <c r="E29" s="189">
        <v>11.16</v>
      </c>
      <c r="F29" s="190">
        <v>0.40600000000000003</v>
      </c>
    </row>
    <row r="30" spans="1:6" ht="14.7" customHeight="1">
      <c r="A30" s="111" t="s">
        <v>10</v>
      </c>
      <c r="B30" s="71" t="s">
        <v>41</v>
      </c>
      <c r="C30" s="187">
        <v>0.38</v>
      </c>
      <c r="D30" s="188">
        <v>0.45</v>
      </c>
      <c r="E30" s="189">
        <v>-7.0000000000000007E-2</v>
      </c>
      <c r="F30" s="190">
        <v>-0.152</v>
      </c>
    </row>
    <row r="31" spans="1:6" ht="14.7" customHeight="1" thickBot="1">
      <c r="A31" s="113" t="s">
        <v>9</v>
      </c>
      <c r="B31" s="273" t="s">
        <v>12</v>
      </c>
      <c r="C31" s="274">
        <v>100.7</v>
      </c>
      <c r="D31" s="275">
        <v>143.69999999999999</v>
      </c>
      <c r="E31" s="276">
        <v>-43</v>
      </c>
      <c r="F31" s="277">
        <v>-0.29899999999999999</v>
      </c>
    </row>
    <row r="32" spans="1:6" s="22" customFormat="1" ht="14.7" customHeight="1">
      <c r="A32" s="157" t="s">
        <v>42</v>
      </c>
      <c r="B32" s="205"/>
      <c r="C32" s="278"/>
      <c r="D32" s="279"/>
      <c r="E32" s="280" t="s">
        <v>24</v>
      </c>
      <c r="F32" s="281"/>
    </row>
    <row r="33" spans="1:6" ht="14.7" customHeight="1">
      <c r="A33" s="111" t="s">
        <v>43</v>
      </c>
      <c r="B33" s="71" t="s">
        <v>11</v>
      </c>
      <c r="C33" s="187">
        <v>3.32</v>
      </c>
      <c r="D33" s="188">
        <v>2.41</v>
      </c>
      <c r="E33" s="189">
        <v>0.92</v>
      </c>
      <c r="F33" s="190">
        <v>0.38100000000000001</v>
      </c>
    </row>
    <row r="34" spans="1:6" ht="14.7" customHeight="1">
      <c r="A34" s="111" t="s">
        <v>30</v>
      </c>
      <c r="B34" s="71" t="s">
        <v>44</v>
      </c>
      <c r="C34" s="187">
        <v>9.7200000000000006</v>
      </c>
      <c r="D34" s="188">
        <v>9.5399999999999991</v>
      </c>
      <c r="E34" s="189">
        <v>0.18</v>
      </c>
      <c r="F34" s="190">
        <v>1.9E-2</v>
      </c>
    </row>
    <row r="35" spans="1:6" ht="14.7" customHeight="1">
      <c r="A35" s="111" t="s">
        <v>45</v>
      </c>
      <c r="B35" s="71" t="s">
        <v>5</v>
      </c>
      <c r="C35" s="198">
        <v>1.2E-2</v>
      </c>
      <c r="D35" s="172">
        <v>1.6E-2</v>
      </c>
      <c r="E35" s="199">
        <v>0</v>
      </c>
      <c r="F35" s="200" t="s">
        <v>428</v>
      </c>
    </row>
    <row r="36" spans="1:6" ht="14.7" customHeight="1">
      <c r="A36" s="111" t="s">
        <v>33</v>
      </c>
      <c r="B36" s="71" t="s">
        <v>34</v>
      </c>
      <c r="C36" s="187">
        <v>612.70000000000005</v>
      </c>
      <c r="D36" s="188">
        <v>603.96</v>
      </c>
      <c r="E36" s="189">
        <v>8.74</v>
      </c>
      <c r="F36" s="190">
        <v>1.4E-2</v>
      </c>
    </row>
    <row r="37" spans="1:6" ht="14.7" customHeight="1">
      <c r="A37" s="111" t="s">
        <v>46</v>
      </c>
      <c r="B37" s="71" t="s">
        <v>34</v>
      </c>
      <c r="C37" s="201">
        <v>1.4039999999999999</v>
      </c>
      <c r="D37" s="202">
        <v>1.7949999999999999</v>
      </c>
      <c r="E37" s="203">
        <v>-0.39</v>
      </c>
      <c r="F37" s="190">
        <v>-0.218</v>
      </c>
    </row>
    <row r="38" spans="1:6" ht="14.7" customHeight="1">
      <c r="A38" s="111" t="s">
        <v>39</v>
      </c>
      <c r="B38" s="71" t="s">
        <v>40</v>
      </c>
      <c r="C38" s="187">
        <v>63.57</v>
      </c>
      <c r="D38" s="188">
        <v>55.37</v>
      </c>
      <c r="E38" s="189">
        <v>-8.1999999999999993</v>
      </c>
      <c r="F38" s="190">
        <v>0.14799999999999999</v>
      </c>
    </row>
    <row r="39" spans="1:6" ht="14.7" customHeight="1">
      <c r="A39" s="111" t="s">
        <v>10</v>
      </c>
      <c r="B39" s="71" t="s">
        <v>41</v>
      </c>
      <c r="C39" s="187">
        <v>3.0000000000000001E-3</v>
      </c>
      <c r="D39" s="188">
        <v>1E-3</v>
      </c>
      <c r="E39" s="189">
        <v>0</v>
      </c>
      <c r="F39" s="190">
        <v>1.9770000000000001</v>
      </c>
    </row>
    <row r="40" spans="1:6" ht="14.7" customHeight="1">
      <c r="A40" s="111" t="s">
        <v>9</v>
      </c>
      <c r="B40" s="71" t="s">
        <v>12</v>
      </c>
      <c r="C40" s="187">
        <v>0.18</v>
      </c>
      <c r="D40" s="188">
        <v>0.05</v>
      </c>
      <c r="E40" s="189">
        <v>0.13</v>
      </c>
      <c r="F40" s="190" t="s">
        <v>423</v>
      </c>
    </row>
    <row r="41" spans="1:6" ht="14.7" customHeight="1">
      <c r="A41" s="11"/>
      <c r="B41" s="40"/>
      <c r="C41" s="11"/>
      <c r="D41" s="11"/>
      <c r="E41" s="11"/>
    </row>
    <row r="42" spans="1:6" ht="14.7" customHeight="1">
      <c r="A42" s="11"/>
      <c r="B42" s="40"/>
      <c r="C42" s="11"/>
      <c r="D42" s="11"/>
      <c r="E42" s="11"/>
    </row>
    <row r="43" spans="1:6" ht="14.7" customHeight="1">
      <c r="A43" s="605" t="s">
        <v>442</v>
      </c>
      <c r="B43" s="605"/>
      <c r="C43" s="605"/>
      <c r="D43" s="605"/>
      <c r="E43" s="605"/>
    </row>
    <row r="44" spans="1:6" ht="14.7" customHeight="1">
      <c r="A44" s="57"/>
      <c r="B44" s="59"/>
      <c r="C44" s="59" t="s">
        <v>443</v>
      </c>
      <c r="D44" s="59" t="s">
        <v>107</v>
      </c>
    </row>
    <row r="45" spans="1:6" ht="14.7" customHeight="1">
      <c r="A45" s="157" t="s">
        <v>440</v>
      </c>
      <c r="B45" s="205" t="s">
        <v>5</v>
      </c>
      <c r="C45" s="374">
        <v>1</v>
      </c>
      <c r="D45" s="375">
        <v>1</v>
      </c>
    </row>
    <row r="46" spans="1:6" ht="14.7" customHeight="1">
      <c r="A46" s="157" t="s">
        <v>224</v>
      </c>
      <c r="B46" s="205"/>
      <c r="C46" s="106"/>
      <c r="D46" s="107"/>
    </row>
    <row r="47" spans="1:6" ht="14.7" customHeight="1">
      <c r="A47" s="111" t="s">
        <v>225</v>
      </c>
      <c r="B47" s="71" t="s">
        <v>53</v>
      </c>
      <c r="C47" s="206">
        <v>1663</v>
      </c>
      <c r="D47" s="207">
        <v>1628</v>
      </c>
    </row>
    <row r="48" spans="1:6" ht="14.7" customHeight="1">
      <c r="A48" s="111" t="s">
        <v>50</v>
      </c>
      <c r="B48" s="71" t="s">
        <v>5</v>
      </c>
      <c r="C48" s="208">
        <v>5.1400000000000001E-2</v>
      </c>
      <c r="D48" s="209">
        <v>5.0799999999999998E-2</v>
      </c>
    </row>
    <row r="49" spans="1:5" ht="14.7" customHeight="1">
      <c r="A49" s="111" t="s">
        <v>51</v>
      </c>
      <c r="B49" s="71" t="s">
        <v>53</v>
      </c>
      <c r="C49" s="210">
        <v>91.9</v>
      </c>
      <c r="D49" s="211">
        <v>89.5</v>
      </c>
    </row>
    <row r="50" spans="1:5" ht="26.4">
      <c r="A50" s="111" t="s">
        <v>226</v>
      </c>
      <c r="B50" s="71" t="s">
        <v>53</v>
      </c>
      <c r="C50" s="210" t="s">
        <v>18</v>
      </c>
      <c r="D50" s="211">
        <v>26.3</v>
      </c>
    </row>
    <row r="51" spans="1:5" ht="14.7" customHeight="1">
      <c r="A51" s="157" t="s">
        <v>28</v>
      </c>
      <c r="B51" s="205"/>
      <c r="C51" s="212"/>
      <c r="D51" s="213"/>
    </row>
    <row r="52" spans="1:5" ht="14.7" customHeight="1">
      <c r="A52" s="111" t="s">
        <v>225</v>
      </c>
      <c r="B52" s="71" t="s">
        <v>53</v>
      </c>
      <c r="C52" s="206">
        <v>1414</v>
      </c>
      <c r="D52" s="207">
        <v>1401</v>
      </c>
    </row>
    <row r="53" spans="1:5" ht="14.7" customHeight="1">
      <c r="A53" s="112" t="s">
        <v>52</v>
      </c>
      <c r="B53" s="71" t="s">
        <v>53</v>
      </c>
      <c r="C53" s="206">
        <v>671</v>
      </c>
      <c r="D53" s="207">
        <v>706</v>
      </c>
    </row>
    <row r="54" spans="1:5" ht="14.7" customHeight="1">
      <c r="A54" s="112" t="s">
        <v>217</v>
      </c>
      <c r="B54" s="71" t="s">
        <v>53</v>
      </c>
      <c r="C54" s="206">
        <v>743</v>
      </c>
      <c r="D54" s="207">
        <v>695</v>
      </c>
    </row>
    <row r="55" spans="1:5" ht="14.7" customHeight="1">
      <c r="A55" s="111" t="s">
        <v>222</v>
      </c>
      <c r="B55" s="71" t="s">
        <v>5</v>
      </c>
      <c r="C55" s="208">
        <v>5.3400000000000003E-2</v>
      </c>
      <c r="D55" s="209">
        <v>5.28E-2</v>
      </c>
    </row>
    <row r="56" spans="1:5" ht="14.7" customHeight="1">
      <c r="A56" s="111" t="s">
        <v>51</v>
      </c>
      <c r="B56" s="71" t="s">
        <v>53</v>
      </c>
      <c r="C56" s="210">
        <v>82.4</v>
      </c>
      <c r="D56" s="211">
        <v>80</v>
      </c>
    </row>
    <row r="57" spans="1:5" ht="14.7" customHeight="1">
      <c r="A57" s="157" t="s">
        <v>42</v>
      </c>
      <c r="B57" s="205"/>
      <c r="C57" s="212"/>
      <c r="D57" s="213"/>
    </row>
    <row r="58" spans="1:5" ht="14.7" customHeight="1">
      <c r="A58" s="111" t="s">
        <v>225</v>
      </c>
      <c r="B58" s="71" t="s">
        <v>53</v>
      </c>
      <c r="C58" s="206">
        <v>249</v>
      </c>
      <c r="D58" s="207">
        <v>227</v>
      </c>
    </row>
    <row r="59" spans="1:5" ht="14.7" customHeight="1">
      <c r="A59" s="112" t="s">
        <v>223</v>
      </c>
      <c r="B59" s="71" t="s">
        <v>53</v>
      </c>
      <c r="C59" s="206">
        <v>249</v>
      </c>
      <c r="D59" s="207">
        <v>227</v>
      </c>
    </row>
    <row r="60" spans="1:5" ht="14.7" customHeight="1">
      <c r="A60" s="111" t="s">
        <v>222</v>
      </c>
      <c r="B60" s="71" t="s">
        <v>5</v>
      </c>
      <c r="C60" s="208">
        <v>3.9E-2</v>
      </c>
      <c r="D60" s="209">
        <v>3.8399999999999997E-2</v>
      </c>
    </row>
    <row r="61" spans="1:5" ht="14.7" customHeight="1">
      <c r="A61" s="214" t="s">
        <v>51</v>
      </c>
      <c r="B61" s="71" t="s">
        <v>53</v>
      </c>
      <c r="C61" s="210">
        <v>9.5</v>
      </c>
      <c r="D61" s="211">
        <v>9.6</v>
      </c>
    </row>
    <row r="62" spans="1:5" ht="14.7" customHeight="1">
      <c r="A62" s="249" t="s">
        <v>429</v>
      </c>
      <c r="B62" s="40"/>
      <c r="C62" s="11"/>
      <c r="D62" s="11"/>
      <c r="E62" s="11"/>
    </row>
    <row r="63" spans="1:5" ht="14.7" customHeight="1">
      <c r="A63" s="47" t="s">
        <v>430</v>
      </c>
      <c r="B63" s="40"/>
      <c r="C63" s="11"/>
      <c r="D63" s="11"/>
      <c r="E63" s="11"/>
    </row>
    <row r="64" spans="1:5" ht="14.7" customHeight="1">
      <c r="A64" s="13"/>
      <c r="B64" s="40"/>
      <c r="C64" s="11"/>
      <c r="D64" s="11"/>
      <c r="E64" s="11"/>
    </row>
    <row r="65" spans="1:1" ht="14.7" customHeight="1">
      <c r="A65" s="22"/>
    </row>
  </sheetData>
  <mergeCells count="5">
    <mergeCell ref="A43:E43"/>
    <mergeCell ref="A18:F18"/>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59"/>
  <sheetViews>
    <sheetView showGridLines="0" zoomScale="80" zoomScaleNormal="80" workbookViewId="0"/>
  </sheetViews>
  <sheetFormatPr defaultColWidth="9.109375" defaultRowHeight="14.7" customHeight="1"/>
  <cols>
    <col min="1" max="1" width="54" style="12" customWidth="1"/>
    <col min="2" max="2" width="13.6640625" style="41" customWidth="1"/>
    <col min="3" max="6" width="13.6640625" style="12" customWidth="1"/>
    <col min="7" max="7" width="9.88671875" style="12" customWidth="1"/>
    <col min="8" max="16384" width="9.109375" style="12"/>
  </cols>
  <sheetData>
    <row r="1" spans="1:8" ht="39.9" customHeight="1">
      <c r="A1" s="156" t="s">
        <v>86</v>
      </c>
      <c r="B1" s="204"/>
      <c r="C1" s="204"/>
      <c r="D1" s="156"/>
      <c r="E1" s="204"/>
      <c r="F1" s="204"/>
      <c r="H1" s="16"/>
    </row>
    <row r="2" spans="1:8" ht="39.9" customHeight="1" thickBot="1">
      <c r="A2" s="606" t="s">
        <v>472</v>
      </c>
      <c r="B2" s="606"/>
      <c r="C2" s="606"/>
      <c r="D2" s="606"/>
      <c r="E2" s="606"/>
      <c r="F2" s="606"/>
    </row>
    <row r="3" spans="1:8" ht="14.7" customHeight="1">
      <c r="A3" s="14"/>
      <c r="B3" s="40"/>
      <c r="C3" s="11"/>
      <c r="D3" s="11"/>
      <c r="E3" s="11"/>
    </row>
    <row r="4" spans="1:8" ht="14.7" customHeight="1">
      <c r="A4" s="605" t="s">
        <v>374</v>
      </c>
      <c r="B4" s="605"/>
      <c r="C4" s="605"/>
      <c r="D4" s="605"/>
      <c r="E4" s="605"/>
      <c r="F4" s="605"/>
    </row>
    <row r="5" spans="1:8" s="33" customFormat="1" ht="13.8">
      <c r="A5" s="57"/>
      <c r="B5" s="57"/>
      <c r="C5" s="57" t="s">
        <v>408</v>
      </c>
      <c r="D5" s="57" t="s">
        <v>241</v>
      </c>
      <c r="E5" s="80" t="s">
        <v>23</v>
      </c>
      <c r="F5" s="80" t="s">
        <v>3</v>
      </c>
    </row>
    <row r="6" spans="1:8" ht="14.7" customHeight="1">
      <c r="A6" s="111" t="s">
        <v>48</v>
      </c>
      <c r="B6" s="71" t="s">
        <v>53</v>
      </c>
      <c r="C6" s="72">
        <v>33.1</v>
      </c>
      <c r="D6" s="73">
        <v>22.5</v>
      </c>
      <c r="E6" s="87">
        <v>10.6</v>
      </c>
      <c r="F6" s="88">
        <v>0.47099999999999997</v>
      </c>
    </row>
    <row r="7" spans="1:8" ht="14.7" customHeight="1">
      <c r="A7" s="111" t="s">
        <v>116</v>
      </c>
      <c r="B7" s="71" t="s">
        <v>53</v>
      </c>
      <c r="C7" s="72">
        <v>19.399999999999999</v>
      </c>
      <c r="D7" s="73">
        <v>14.4</v>
      </c>
      <c r="E7" s="87">
        <v>5</v>
      </c>
      <c r="F7" s="88">
        <v>0.34699999999999998</v>
      </c>
    </row>
    <row r="8" spans="1:8" ht="14.7" customHeight="1">
      <c r="A8" s="111" t="s">
        <v>214</v>
      </c>
      <c r="B8" s="71" t="s">
        <v>53</v>
      </c>
      <c r="C8" s="72">
        <v>17.2</v>
      </c>
      <c r="D8" s="73">
        <v>14.4</v>
      </c>
      <c r="E8" s="87">
        <v>2.8</v>
      </c>
      <c r="F8" s="88">
        <v>0.19400000000000001</v>
      </c>
    </row>
    <row r="9" spans="1:8" ht="14.7" customHeight="1">
      <c r="A9" s="111" t="s">
        <v>117</v>
      </c>
      <c r="B9" s="71" t="s">
        <v>53</v>
      </c>
      <c r="C9" s="72">
        <v>14.9</v>
      </c>
      <c r="D9" s="73">
        <v>10.6</v>
      </c>
      <c r="E9" s="87">
        <v>4.3</v>
      </c>
      <c r="F9" s="88">
        <v>0.40600000000000003</v>
      </c>
    </row>
    <row r="10" spans="1:8" ht="14.7" customHeight="1">
      <c r="A10" s="111" t="s">
        <v>215</v>
      </c>
      <c r="B10" s="71" t="s">
        <v>53</v>
      </c>
      <c r="C10" s="72">
        <v>11.6</v>
      </c>
      <c r="D10" s="73">
        <v>10.7</v>
      </c>
      <c r="E10" s="87">
        <v>0.9</v>
      </c>
      <c r="F10" s="88">
        <v>1</v>
      </c>
    </row>
    <row r="11" spans="1:8" ht="14.7" customHeight="1">
      <c r="A11" s="111" t="s">
        <v>119</v>
      </c>
      <c r="B11" s="71" t="s">
        <v>53</v>
      </c>
      <c r="C11" s="72">
        <v>7.3</v>
      </c>
      <c r="D11" s="73">
        <v>35.299999999999997</v>
      </c>
      <c r="E11" s="87">
        <v>-28</v>
      </c>
      <c r="F11" s="88">
        <v>-0.79300000000000004</v>
      </c>
    </row>
    <row r="12" spans="1:8" ht="14.7" customHeight="1">
      <c r="A12" s="111" t="s">
        <v>120</v>
      </c>
      <c r="B12" s="71" t="s">
        <v>5</v>
      </c>
      <c r="C12" s="180">
        <v>0.54900000000000004</v>
      </c>
      <c r="D12" s="181">
        <v>0.64</v>
      </c>
      <c r="E12" s="182" t="s">
        <v>25</v>
      </c>
      <c r="F12" s="88" t="s">
        <v>431</v>
      </c>
    </row>
    <row r="13" spans="1:8" ht="14.7" customHeight="1">
      <c r="A13" s="57"/>
      <c r="B13" s="59"/>
      <c r="C13" s="59" t="s">
        <v>425</v>
      </c>
      <c r="D13" s="59" t="s">
        <v>426</v>
      </c>
      <c r="E13" s="85" t="s">
        <v>23</v>
      </c>
      <c r="F13" s="85" t="s">
        <v>432</v>
      </c>
    </row>
    <row r="14" spans="1:8" ht="14.7" customHeight="1">
      <c r="A14" s="111" t="s">
        <v>49</v>
      </c>
      <c r="B14" s="71" t="s">
        <v>53</v>
      </c>
      <c r="C14" s="72">
        <v>755.6</v>
      </c>
      <c r="D14" s="73">
        <v>755.4</v>
      </c>
      <c r="E14" s="87">
        <v>0.2</v>
      </c>
      <c r="F14" s="88">
        <v>0</v>
      </c>
    </row>
    <row r="15" spans="1:8" ht="14.7" customHeight="1">
      <c r="A15" s="111" t="s">
        <v>118</v>
      </c>
      <c r="B15" s="71" t="s">
        <v>53</v>
      </c>
      <c r="C15" s="72">
        <v>374.4</v>
      </c>
      <c r="D15" s="73">
        <v>352.4</v>
      </c>
      <c r="E15" s="87">
        <v>22</v>
      </c>
      <c r="F15" s="88">
        <v>6.2E-2</v>
      </c>
    </row>
    <row r="16" spans="1:8" ht="14.7" customHeight="1">
      <c r="B16" s="12"/>
    </row>
    <row r="17" spans="1:6" ht="14.7" customHeight="1">
      <c r="B17" s="12"/>
    </row>
    <row r="18" spans="1:6" ht="14.7" customHeight="1">
      <c r="A18" s="605" t="s">
        <v>250</v>
      </c>
      <c r="B18" s="605"/>
      <c r="C18" s="605"/>
      <c r="D18" s="605"/>
      <c r="E18" s="605"/>
      <c r="F18" s="605"/>
    </row>
    <row r="19" spans="1:6" s="33" customFormat="1" ht="13.8">
      <c r="A19" s="57"/>
      <c r="B19" s="57"/>
      <c r="C19" s="57" t="s">
        <v>408</v>
      </c>
      <c r="D19" s="57" t="s">
        <v>241</v>
      </c>
      <c r="E19" s="57" t="s">
        <v>23</v>
      </c>
      <c r="F19" s="57" t="s">
        <v>26</v>
      </c>
    </row>
    <row r="20" spans="1:6" ht="14.7" customHeight="1">
      <c r="A20" s="157" t="s">
        <v>54</v>
      </c>
      <c r="B20" s="157"/>
      <c r="C20" s="72"/>
      <c r="D20" s="73"/>
      <c r="E20" s="87"/>
      <c r="F20" s="88"/>
    </row>
    <row r="21" spans="1:6" ht="14.7" customHeight="1">
      <c r="A21" s="111" t="s">
        <v>55</v>
      </c>
      <c r="B21" s="215" t="s">
        <v>13</v>
      </c>
      <c r="C21" s="378">
        <v>1120</v>
      </c>
      <c r="D21" s="379">
        <v>1077</v>
      </c>
      <c r="E21" s="218">
        <v>43</v>
      </c>
      <c r="F21" s="219">
        <v>0.04</v>
      </c>
    </row>
    <row r="22" spans="1:6" ht="14.7" customHeight="1">
      <c r="A22" s="220" t="s">
        <v>56</v>
      </c>
      <c r="B22" s="221" t="s">
        <v>13</v>
      </c>
      <c r="C22" s="380">
        <v>76</v>
      </c>
      <c r="D22" s="381">
        <v>76</v>
      </c>
      <c r="E22" s="224">
        <v>0</v>
      </c>
      <c r="F22" s="225">
        <v>-1E-3</v>
      </c>
    </row>
    <row r="23" spans="1:6" ht="14.7" customHeight="1">
      <c r="A23" s="220" t="s">
        <v>57</v>
      </c>
      <c r="B23" s="221" t="s">
        <v>13</v>
      </c>
      <c r="C23" s="380">
        <v>1001</v>
      </c>
      <c r="D23" s="381">
        <v>1001</v>
      </c>
      <c r="E23" s="224">
        <v>0</v>
      </c>
      <c r="F23" s="225">
        <v>0</v>
      </c>
    </row>
    <row r="24" spans="1:6" ht="14.7" customHeight="1">
      <c r="A24" s="226" t="s">
        <v>435</v>
      </c>
      <c r="B24" s="221" t="s">
        <v>13</v>
      </c>
      <c r="C24" s="222">
        <v>900</v>
      </c>
      <c r="D24" s="223">
        <v>900</v>
      </c>
      <c r="E24" s="224">
        <v>0</v>
      </c>
      <c r="F24" s="225">
        <v>0</v>
      </c>
    </row>
    <row r="25" spans="1:6" ht="14.7" customHeight="1">
      <c r="A25" s="220" t="s">
        <v>436</v>
      </c>
      <c r="B25" s="221" t="s">
        <v>13</v>
      </c>
      <c r="C25" s="222">
        <v>101</v>
      </c>
      <c r="D25" s="223">
        <v>101</v>
      </c>
      <c r="E25" s="224">
        <v>0</v>
      </c>
      <c r="F25" s="225">
        <v>0</v>
      </c>
    </row>
    <row r="26" spans="1:6" ht="14.7" customHeight="1">
      <c r="A26" s="227" t="s">
        <v>58</v>
      </c>
      <c r="B26" s="228" t="s">
        <v>13</v>
      </c>
      <c r="C26" s="229">
        <v>43</v>
      </c>
      <c r="D26" s="230">
        <v>0</v>
      </c>
      <c r="E26" s="231">
        <v>43</v>
      </c>
      <c r="F26" s="232" t="s">
        <v>25</v>
      </c>
    </row>
    <row r="27" spans="1:6" ht="14.7" customHeight="1">
      <c r="A27" s="111" t="s">
        <v>59</v>
      </c>
      <c r="B27" s="221" t="s">
        <v>13</v>
      </c>
      <c r="C27" s="222">
        <v>230</v>
      </c>
      <c r="D27" s="223">
        <v>210</v>
      </c>
      <c r="E27" s="224">
        <v>20</v>
      </c>
      <c r="F27" s="225">
        <v>9.5000000000000001E-2</v>
      </c>
    </row>
    <row r="28" spans="1:6" ht="14.7" customHeight="1">
      <c r="A28" s="613" t="s">
        <v>437</v>
      </c>
      <c r="B28" s="221" t="s">
        <v>13</v>
      </c>
      <c r="C28" s="222">
        <v>157</v>
      </c>
      <c r="D28" s="223">
        <v>94</v>
      </c>
      <c r="E28" s="224">
        <v>63</v>
      </c>
      <c r="F28" s="225">
        <v>0.67</v>
      </c>
    </row>
    <row r="29" spans="1:6" ht="14.7" customHeight="1">
      <c r="A29" s="613" t="s">
        <v>58</v>
      </c>
      <c r="B29" s="221" t="s">
        <v>13</v>
      </c>
      <c r="C29" s="222">
        <v>0</v>
      </c>
      <c r="D29" s="223">
        <v>43</v>
      </c>
      <c r="E29" s="224">
        <v>-43</v>
      </c>
      <c r="F29" s="225">
        <v>-1</v>
      </c>
    </row>
    <row r="30" spans="1:6" ht="14.7" customHeight="1">
      <c r="A30" s="613" t="s">
        <v>438</v>
      </c>
      <c r="B30" s="221" t="s">
        <v>13</v>
      </c>
      <c r="C30" s="222">
        <v>73</v>
      </c>
      <c r="D30" s="223">
        <v>73</v>
      </c>
      <c r="E30" s="224">
        <v>0</v>
      </c>
      <c r="F30" s="225">
        <v>0</v>
      </c>
    </row>
    <row r="31" spans="1:6" ht="14.7" customHeight="1">
      <c r="A31" s="111" t="s">
        <v>60</v>
      </c>
      <c r="B31" s="221" t="s">
        <v>11</v>
      </c>
      <c r="C31" s="222">
        <v>0.35</v>
      </c>
      <c r="D31" s="223">
        <v>0.34</v>
      </c>
      <c r="E31" s="224">
        <v>0.01</v>
      </c>
      <c r="F31" s="225">
        <v>0.02</v>
      </c>
    </row>
    <row r="32" spans="1:6" ht="14.7" customHeight="1">
      <c r="A32" s="220" t="s">
        <v>61</v>
      </c>
      <c r="B32" s="221" t="s">
        <v>11</v>
      </c>
      <c r="C32" s="222">
        <v>0.05</v>
      </c>
      <c r="D32" s="223">
        <v>0.08</v>
      </c>
      <c r="E32" s="224">
        <v>-0.03</v>
      </c>
      <c r="F32" s="225">
        <v>-0.318</v>
      </c>
    </row>
    <row r="33" spans="1:6" ht="14.7" customHeight="1">
      <c r="A33" s="220" t="s">
        <v>62</v>
      </c>
      <c r="B33" s="221" t="s">
        <v>11</v>
      </c>
      <c r="C33" s="222">
        <v>0.24</v>
      </c>
      <c r="D33" s="223">
        <v>0.26</v>
      </c>
      <c r="E33" s="224">
        <v>-0.02</v>
      </c>
      <c r="F33" s="225">
        <v>-7.0000000000000007E-2</v>
      </c>
    </row>
    <row r="34" spans="1:6" ht="14.7" customHeight="1">
      <c r="A34" s="220" t="s">
        <v>435</v>
      </c>
      <c r="B34" s="221" t="s">
        <v>11</v>
      </c>
      <c r="C34" s="222">
        <v>0.16</v>
      </c>
      <c r="D34" s="223">
        <v>0.18</v>
      </c>
      <c r="E34" s="224">
        <v>-0.02</v>
      </c>
      <c r="F34" s="225">
        <v>-8.5000000000000006E-2</v>
      </c>
    </row>
    <row r="35" spans="1:6" ht="14.7" customHeight="1">
      <c r="A35" s="220" t="s">
        <v>436</v>
      </c>
      <c r="B35" s="221" t="s">
        <v>11</v>
      </c>
      <c r="C35" s="222">
        <v>0.08</v>
      </c>
      <c r="D35" s="223">
        <v>0.08</v>
      </c>
      <c r="E35" s="235">
        <v>0</v>
      </c>
      <c r="F35" s="225">
        <v>-3.4000000000000002E-2</v>
      </c>
    </row>
    <row r="36" spans="1:6" ht="14.7" customHeight="1">
      <c r="A36" s="220" t="s">
        <v>58</v>
      </c>
      <c r="B36" s="221" t="s">
        <v>11</v>
      </c>
      <c r="C36" s="222">
        <v>0.05</v>
      </c>
      <c r="D36" s="223">
        <v>0</v>
      </c>
      <c r="E36" s="224">
        <v>0.05</v>
      </c>
      <c r="F36" s="225" t="s">
        <v>25</v>
      </c>
    </row>
    <row r="37" spans="1:6" ht="14.7" customHeight="1">
      <c r="A37" s="111" t="s">
        <v>63</v>
      </c>
      <c r="B37" s="221" t="s">
        <v>5</v>
      </c>
      <c r="C37" s="236">
        <v>0.99199999999999999</v>
      </c>
      <c r="D37" s="237">
        <v>0.99199999999999999</v>
      </c>
      <c r="E37" s="224" t="s">
        <v>25</v>
      </c>
      <c r="F37" s="225" t="s">
        <v>433</v>
      </c>
    </row>
    <row r="38" spans="1:6" ht="14.7" customHeight="1" thickBot="1">
      <c r="A38" s="282" t="s">
        <v>64</v>
      </c>
      <c r="B38" s="238" t="s">
        <v>5</v>
      </c>
      <c r="C38" s="239">
        <v>0.33100000000000002</v>
      </c>
      <c r="D38" s="240">
        <v>0.48499999999999999</v>
      </c>
      <c r="E38" s="241" t="s">
        <v>25</v>
      </c>
      <c r="F38" s="242" t="s">
        <v>434</v>
      </c>
    </row>
    <row r="39" spans="1:6" ht="14.7" customHeight="1">
      <c r="A39" s="157" t="s">
        <v>65</v>
      </c>
      <c r="B39" s="228"/>
      <c r="C39" s="229"/>
      <c r="D39" s="230"/>
      <c r="E39" s="231"/>
      <c r="F39" s="232"/>
    </row>
    <row r="40" spans="1:6" ht="14.7" customHeight="1">
      <c r="A40" s="111" t="s">
        <v>55</v>
      </c>
      <c r="B40" s="221" t="s">
        <v>13</v>
      </c>
      <c r="C40" s="222">
        <v>170</v>
      </c>
      <c r="D40" s="223">
        <v>40</v>
      </c>
      <c r="E40" s="224">
        <v>130</v>
      </c>
      <c r="F40" s="225">
        <v>3.25</v>
      </c>
    </row>
    <row r="41" spans="1:6" ht="14.7" customHeight="1">
      <c r="A41" s="111" t="s">
        <v>66</v>
      </c>
      <c r="B41" s="221" t="s">
        <v>13</v>
      </c>
      <c r="C41" s="222">
        <v>169</v>
      </c>
      <c r="D41" s="223">
        <v>299</v>
      </c>
      <c r="E41" s="235">
        <v>-130</v>
      </c>
      <c r="F41" s="225">
        <v>-0.435</v>
      </c>
    </row>
    <row r="42" spans="1:6" ht="14.7" customHeight="1">
      <c r="A42" s="111" t="s">
        <v>67</v>
      </c>
      <c r="B42" s="221" t="s">
        <v>11</v>
      </c>
      <c r="C42" s="222">
        <v>0.23</v>
      </c>
      <c r="D42" s="223">
        <v>0.06</v>
      </c>
      <c r="E42" s="235">
        <v>0.17</v>
      </c>
      <c r="F42" s="225" t="s">
        <v>422</v>
      </c>
    </row>
    <row r="43" spans="1:6" ht="14.7" customHeight="1">
      <c r="A43" s="220" t="s">
        <v>68</v>
      </c>
      <c r="B43" s="221" t="s">
        <v>11</v>
      </c>
      <c r="C43" s="222">
        <v>0.19</v>
      </c>
      <c r="D43" s="223">
        <v>0.01</v>
      </c>
      <c r="E43" s="235">
        <v>0.19</v>
      </c>
      <c r="F43" s="225" t="s">
        <v>439</v>
      </c>
    </row>
    <row r="44" spans="1:6" ht="14.7" customHeight="1">
      <c r="A44" s="220" t="s">
        <v>69</v>
      </c>
      <c r="B44" s="221" t="s">
        <v>11</v>
      </c>
      <c r="C44" s="222">
        <v>0.04</v>
      </c>
      <c r="D44" s="223">
        <v>0.04</v>
      </c>
      <c r="E44" s="235">
        <v>0</v>
      </c>
      <c r="F44" s="225">
        <v>-7.5999999999999998E-2</v>
      </c>
    </row>
    <row r="45" spans="1:6" ht="14.7" customHeight="1">
      <c r="A45" s="220" t="s">
        <v>70</v>
      </c>
      <c r="B45" s="221" t="s">
        <v>11</v>
      </c>
      <c r="C45" s="222">
        <v>0</v>
      </c>
      <c r="D45" s="223">
        <v>0.01</v>
      </c>
      <c r="E45" s="224">
        <v>-0.01</v>
      </c>
      <c r="F45" s="225">
        <v>-0.88200000000000001</v>
      </c>
    </row>
    <row r="46" spans="1:6" ht="14.7" customHeight="1">
      <c r="A46" s="243"/>
      <c r="B46" s="243"/>
      <c r="C46" s="11"/>
      <c r="D46" s="11"/>
      <c r="E46" s="11"/>
    </row>
    <row r="47" spans="1:6" ht="14.7" customHeight="1">
      <c r="A47" s="11"/>
      <c r="B47" s="243"/>
      <c r="C47" s="11"/>
      <c r="D47" s="11"/>
      <c r="E47" s="11"/>
    </row>
    <row r="48" spans="1:6" ht="14.7" customHeight="1">
      <c r="A48" s="605" t="s">
        <v>441</v>
      </c>
      <c r="B48" s="605"/>
      <c r="C48" s="605"/>
      <c r="D48" s="605"/>
      <c r="E48" s="605"/>
    </row>
    <row r="49" spans="1:4" ht="14.7" customHeight="1">
      <c r="A49" s="57"/>
      <c r="B49" s="59"/>
      <c r="C49" s="59" t="s">
        <v>443</v>
      </c>
      <c r="D49" s="59" t="s">
        <v>107</v>
      </c>
    </row>
    <row r="50" spans="1:4" ht="28.5" customHeight="1">
      <c r="A50" s="157" t="s">
        <v>440</v>
      </c>
      <c r="B50" s="157" t="s">
        <v>5</v>
      </c>
      <c r="C50" s="374">
        <v>0.17899999999999999</v>
      </c>
      <c r="D50" s="375">
        <v>0.39300000000000002</v>
      </c>
    </row>
    <row r="51" spans="1:4" ht="14.7" customHeight="1">
      <c r="A51" s="157" t="s">
        <v>71</v>
      </c>
      <c r="B51" s="157"/>
      <c r="C51" s="72"/>
      <c r="D51" s="73"/>
    </row>
    <row r="52" spans="1:4" ht="14.7" customHeight="1">
      <c r="A52" s="220" t="s">
        <v>15</v>
      </c>
      <c r="B52" s="215" t="s">
        <v>53</v>
      </c>
      <c r="C52" s="216" t="s">
        <v>465</v>
      </c>
      <c r="D52" s="217">
        <v>35.6</v>
      </c>
    </row>
    <row r="53" spans="1:4" ht="14.7" customHeight="1">
      <c r="A53" s="220" t="s">
        <v>16</v>
      </c>
      <c r="B53" s="215" t="s">
        <v>5</v>
      </c>
      <c r="C53" s="247">
        <v>3.5000000000000003E-2</v>
      </c>
      <c r="D53" s="248">
        <v>5.0700000000000002E-2</v>
      </c>
    </row>
    <row r="54" spans="1:4" ht="14.7" customHeight="1">
      <c r="A54" s="226" t="s">
        <v>51</v>
      </c>
      <c r="B54" s="244" t="s">
        <v>53</v>
      </c>
      <c r="C54" s="245">
        <v>1.3</v>
      </c>
      <c r="D54" s="246">
        <v>1.7</v>
      </c>
    </row>
    <row r="55" spans="1:4" ht="14.7" customHeight="1">
      <c r="A55" s="249" t="s">
        <v>429</v>
      </c>
    </row>
    <row r="56" spans="1:4" ht="14.7" customHeight="1">
      <c r="A56" s="46" t="s">
        <v>444</v>
      </c>
    </row>
    <row r="57" spans="1:4" ht="14.7" customHeight="1">
      <c r="A57" s="46" t="s">
        <v>445</v>
      </c>
    </row>
    <row r="59" spans="1:4" ht="14.7" customHeight="1">
      <c r="B59" s="250"/>
    </row>
  </sheetData>
  <mergeCells count="5">
    <mergeCell ref="A4:F4"/>
    <mergeCell ref="A18:F18"/>
    <mergeCell ref="A48:E48"/>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39"/>
  <sheetViews>
    <sheetView zoomScale="80" zoomScaleNormal="80" workbookViewId="0"/>
  </sheetViews>
  <sheetFormatPr defaultColWidth="9.109375" defaultRowHeight="14.7" customHeight="1"/>
  <cols>
    <col min="1" max="1" width="65.44140625" style="12" customWidth="1"/>
    <col min="2" max="2" width="13.6640625" style="41" customWidth="1"/>
    <col min="3" max="6" width="13.6640625" style="12" customWidth="1"/>
    <col min="7" max="8" width="9.88671875" style="12" customWidth="1"/>
    <col min="9" max="16384" width="9.109375" style="12"/>
  </cols>
  <sheetData>
    <row r="1" spans="1:8" ht="39.9" customHeight="1">
      <c r="A1" s="156" t="s">
        <v>86</v>
      </c>
      <c r="B1" s="204"/>
      <c r="C1" s="204"/>
      <c r="D1" s="156"/>
      <c r="E1" s="204"/>
      <c r="F1" s="204"/>
      <c r="H1" s="16"/>
    </row>
    <row r="2" spans="1:8" ht="39.9" customHeight="1" thickBot="1">
      <c r="A2" s="606" t="s">
        <v>473</v>
      </c>
      <c r="B2" s="606"/>
      <c r="C2" s="606"/>
      <c r="D2" s="606"/>
      <c r="E2" s="606"/>
      <c r="F2" s="606"/>
    </row>
    <row r="3" spans="1:8" ht="14.7" customHeight="1">
      <c r="A3" s="11"/>
      <c r="B3" s="11"/>
      <c r="C3" s="11"/>
      <c r="D3" s="11"/>
      <c r="E3" s="11"/>
    </row>
    <row r="4" spans="1:8" ht="14.7" customHeight="1">
      <c r="A4" s="605" t="s">
        <v>368</v>
      </c>
      <c r="B4" s="605"/>
      <c r="C4" s="605"/>
      <c r="D4" s="605"/>
      <c r="E4" s="605"/>
      <c r="F4" s="605"/>
    </row>
    <row r="5" spans="1:8" s="33" customFormat="1" ht="13.8">
      <c r="A5" s="57"/>
      <c r="B5" s="57"/>
      <c r="C5" s="57" t="s">
        <v>408</v>
      </c>
      <c r="D5" s="57" t="s">
        <v>241</v>
      </c>
      <c r="E5" s="80" t="s">
        <v>23</v>
      </c>
      <c r="F5" s="80" t="s">
        <v>3</v>
      </c>
    </row>
    <row r="6" spans="1:8" ht="14.7" customHeight="1">
      <c r="A6" s="111" t="s">
        <v>48</v>
      </c>
      <c r="B6" s="71" t="s">
        <v>53</v>
      </c>
      <c r="C6" s="72">
        <v>29.7</v>
      </c>
      <c r="D6" s="73">
        <v>16.2</v>
      </c>
      <c r="E6" s="87">
        <v>13.5</v>
      </c>
      <c r="F6" s="88">
        <v>0.83299999999999996</v>
      </c>
    </row>
    <row r="7" spans="1:8" ht="14.7" customHeight="1">
      <c r="A7" s="111" t="s">
        <v>116</v>
      </c>
      <c r="B7" s="71" t="s">
        <v>53</v>
      </c>
      <c r="C7" s="72">
        <v>8.1</v>
      </c>
      <c r="D7" s="73">
        <v>4.5</v>
      </c>
      <c r="E7" s="87">
        <v>3.6</v>
      </c>
      <c r="F7" s="88">
        <v>0.8</v>
      </c>
    </row>
    <row r="8" spans="1:8" ht="14.7" customHeight="1">
      <c r="A8" s="111" t="s">
        <v>214</v>
      </c>
      <c r="B8" s="71" t="s">
        <v>53</v>
      </c>
      <c r="C8" s="72">
        <v>7.9</v>
      </c>
      <c r="D8" s="73">
        <v>5.0999999999999996</v>
      </c>
      <c r="E8" s="87">
        <v>2.8</v>
      </c>
      <c r="F8" s="88">
        <v>0.54900000000000004</v>
      </c>
    </row>
    <row r="9" spans="1:8" ht="14.7" customHeight="1">
      <c r="A9" s="111" t="s">
        <v>117</v>
      </c>
      <c r="B9" s="71" t="s">
        <v>53</v>
      </c>
      <c r="C9" s="72">
        <v>4.3</v>
      </c>
      <c r="D9" s="73">
        <v>1.6</v>
      </c>
      <c r="E9" s="87">
        <v>2.7</v>
      </c>
      <c r="F9" s="88">
        <v>1.6879999999999999</v>
      </c>
    </row>
    <row r="10" spans="1:8" ht="14.7" customHeight="1">
      <c r="A10" s="111" t="s">
        <v>215</v>
      </c>
      <c r="B10" s="71" t="s">
        <v>53</v>
      </c>
      <c r="C10" s="72">
        <v>-1.1000000000000001</v>
      </c>
      <c r="D10" s="73">
        <v>0.2</v>
      </c>
      <c r="E10" s="87">
        <v>-1.3</v>
      </c>
      <c r="F10" s="88" t="s">
        <v>25</v>
      </c>
    </row>
    <row r="11" spans="1:8" ht="14.7" customHeight="1">
      <c r="A11" s="111" t="s">
        <v>119</v>
      </c>
      <c r="B11" s="71" t="s">
        <v>53</v>
      </c>
      <c r="C11" s="72">
        <v>0</v>
      </c>
      <c r="D11" s="73">
        <v>0.3</v>
      </c>
      <c r="E11" s="87">
        <v>-0.3</v>
      </c>
      <c r="F11" s="88">
        <v>-1</v>
      </c>
    </row>
    <row r="12" spans="1:8" ht="14.7" customHeight="1">
      <c r="A12" s="111" t="s">
        <v>120</v>
      </c>
      <c r="B12" s="71" t="s">
        <v>5</v>
      </c>
      <c r="C12" s="180">
        <v>0.27100000000000002</v>
      </c>
      <c r="D12" s="181">
        <v>0.28999999999999998</v>
      </c>
      <c r="E12" s="182" t="s">
        <v>25</v>
      </c>
      <c r="F12" s="88" t="s">
        <v>446</v>
      </c>
    </row>
    <row r="13" spans="1:8" s="33" customFormat="1" ht="13.8">
      <c r="A13" s="57"/>
      <c r="B13" s="57"/>
      <c r="C13" s="57" t="s">
        <v>425</v>
      </c>
      <c r="D13" s="57" t="s">
        <v>426</v>
      </c>
      <c r="E13" s="80" t="s">
        <v>23</v>
      </c>
      <c r="F13" s="80" t="s">
        <v>432</v>
      </c>
    </row>
    <row r="14" spans="1:8" ht="14.7" customHeight="1">
      <c r="A14" s="111" t="s">
        <v>49</v>
      </c>
      <c r="B14" s="71" t="s">
        <v>53</v>
      </c>
      <c r="C14" s="72">
        <v>423.7</v>
      </c>
      <c r="D14" s="73">
        <v>401</v>
      </c>
      <c r="E14" s="87">
        <v>22.7</v>
      </c>
      <c r="F14" s="88">
        <v>5.7000000000000002E-2</v>
      </c>
    </row>
    <row r="15" spans="1:8" ht="14.7" customHeight="1">
      <c r="A15" s="111" t="s">
        <v>118</v>
      </c>
      <c r="B15" s="71" t="s">
        <v>53</v>
      </c>
      <c r="C15" s="72">
        <v>-32.5</v>
      </c>
      <c r="D15" s="73">
        <v>-40.200000000000003</v>
      </c>
      <c r="E15" s="87">
        <v>7.7</v>
      </c>
      <c r="F15" s="88">
        <v>-0.192</v>
      </c>
    </row>
    <row r="16" spans="1:8" ht="14.7" customHeight="1">
      <c r="A16" s="14"/>
      <c r="B16" s="12"/>
    </row>
    <row r="17" spans="1:6" ht="14.7" customHeight="1">
      <c r="A17" s="14"/>
      <c r="B17" s="12"/>
    </row>
    <row r="18" spans="1:6" ht="14.7" customHeight="1">
      <c r="A18" s="605" t="s">
        <v>80</v>
      </c>
      <c r="B18" s="605"/>
      <c r="C18" s="605"/>
      <c r="D18" s="605"/>
      <c r="E18" s="605"/>
      <c r="F18" s="605"/>
    </row>
    <row r="19" spans="1:6" s="33" customFormat="1" ht="13.8">
      <c r="A19" s="57"/>
      <c r="B19" s="57"/>
      <c r="C19" s="57" t="s">
        <v>408</v>
      </c>
      <c r="D19" s="57" t="s">
        <v>241</v>
      </c>
      <c r="E19" s="80" t="s">
        <v>23</v>
      </c>
      <c r="F19" s="80" t="s">
        <v>3</v>
      </c>
    </row>
    <row r="20" spans="1:6" ht="14.7" customHeight="1">
      <c r="A20" s="111" t="s">
        <v>72</v>
      </c>
      <c r="B20" s="71" t="s">
        <v>13</v>
      </c>
      <c r="C20" s="253">
        <v>1055</v>
      </c>
      <c r="D20" s="254">
        <v>1055</v>
      </c>
      <c r="E20" s="87">
        <v>0</v>
      </c>
      <c r="F20" s="251">
        <v>0</v>
      </c>
    </row>
    <row r="21" spans="1:6" ht="14.7" customHeight="1">
      <c r="A21" s="111" t="s">
        <v>73</v>
      </c>
      <c r="B21" s="71" t="s">
        <v>11</v>
      </c>
      <c r="C21" s="126">
        <v>0.22</v>
      </c>
      <c r="D21" s="127">
        <v>0.05</v>
      </c>
      <c r="E21" s="128">
        <v>0.17</v>
      </c>
      <c r="F21" s="252" t="s">
        <v>447</v>
      </c>
    </row>
    <row r="22" spans="1:6" ht="14.7" customHeight="1">
      <c r="A22" s="111" t="s">
        <v>74</v>
      </c>
      <c r="B22" s="71" t="s">
        <v>13</v>
      </c>
      <c r="C22" s="253">
        <v>891</v>
      </c>
      <c r="D22" s="254">
        <v>890</v>
      </c>
      <c r="E22" s="255">
        <v>1</v>
      </c>
      <c r="F22" s="182">
        <v>1E-3</v>
      </c>
    </row>
    <row r="23" spans="1:6" ht="14.7" customHeight="1">
      <c r="A23" s="111" t="s">
        <v>75</v>
      </c>
      <c r="B23" s="71" t="s">
        <v>13</v>
      </c>
      <c r="C23" s="253">
        <v>482</v>
      </c>
      <c r="D23" s="254">
        <v>475</v>
      </c>
      <c r="E23" s="255">
        <v>7</v>
      </c>
      <c r="F23" s="182">
        <v>1.4999999999999999E-2</v>
      </c>
    </row>
    <row r="24" spans="1:6" ht="14.7" customHeight="1">
      <c r="A24" s="111" t="s">
        <v>76</v>
      </c>
      <c r="B24" s="71" t="s">
        <v>13</v>
      </c>
      <c r="C24" s="253">
        <v>409</v>
      </c>
      <c r="D24" s="254">
        <v>415</v>
      </c>
      <c r="E24" s="255">
        <v>-6</v>
      </c>
      <c r="F24" s="182">
        <v>-1.4E-2</v>
      </c>
    </row>
    <row r="25" spans="1:6" ht="14.7" customHeight="1">
      <c r="A25" s="11"/>
      <c r="B25" s="243"/>
      <c r="C25" s="11"/>
      <c r="D25" s="11"/>
      <c r="E25" s="11"/>
    </row>
    <row r="26" spans="1:6" ht="14.7" customHeight="1">
      <c r="A26" s="11"/>
      <c r="B26" s="243"/>
      <c r="C26" s="11"/>
      <c r="D26" s="11"/>
      <c r="E26" s="11"/>
    </row>
    <row r="27" spans="1:6" ht="14.7" customHeight="1">
      <c r="A27" s="605" t="s">
        <v>448</v>
      </c>
      <c r="B27" s="605"/>
      <c r="C27" s="605"/>
      <c r="D27" s="605"/>
      <c r="E27" s="605"/>
    </row>
    <row r="28" spans="1:6" ht="14.7" customHeight="1">
      <c r="A28" s="57"/>
      <c r="B28" s="59"/>
      <c r="C28" s="59" t="s">
        <v>443</v>
      </c>
      <c r="D28" s="59" t="s">
        <v>107</v>
      </c>
    </row>
    <row r="29" spans="1:6" ht="14.7" customHeight="1">
      <c r="A29" s="157" t="s">
        <v>440</v>
      </c>
      <c r="B29" s="157" t="s">
        <v>5</v>
      </c>
      <c r="C29" s="374">
        <v>0.435</v>
      </c>
      <c r="D29" s="375">
        <v>0.97399999999999998</v>
      </c>
    </row>
    <row r="30" spans="1:6" ht="14.7" customHeight="1">
      <c r="A30" s="157" t="s">
        <v>77</v>
      </c>
      <c r="B30" s="157"/>
      <c r="C30" s="72"/>
      <c r="D30" s="73"/>
    </row>
    <row r="31" spans="1:6" ht="14.7" customHeight="1">
      <c r="A31" s="220" t="s">
        <v>15</v>
      </c>
      <c r="B31" s="215" t="s">
        <v>53</v>
      </c>
      <c r="C31" s="247" t="s">
        <v>17</v>
      </c>
      <c r="D31" s="248" t="s">
        <v>17</v>
      </c>
    </row>
    <row r="32" spans="1:6" ht="14.7" customHeight="1">
      <c r="A32" s="220" t="s">
        <v>78</v>
      </c>
      <c r="B32" s="215" t="s">
        <v>5</v>
      </c>
      <c r="C32" s="247" t="s">
        <v>17</v>
      </c>
      <c r="D32" s="248" t="s">
        <v>17</v>
      </c>
    </row>
    <row r="33" spans="1:5" ht="14.7" customHeight="1">
      <c r="A33" s="220" t="s">
        <v>51</v>
      </c>
      <c r="B33" s="215" t="s">
        <v>53</v>
      </c>
      <c r="C33" s="216">
        <v>9.9</v>
      </c>
      <c r="D33" s="217">
        <v>9.8000000000000007</v>
      </c>
    </row>
    <row r="34" spans="1:5" ht="14.7" customHeight="1">
      <c r="A34" s="157" t="s">
        <v>79</v>
      </c>
      <c r="B34" s="215"/>
      <c r="C34" s="216"/>
      <c r="D34" s="217"/>
    </row>
    <row r="35" spans="1:5" ht="14.7" customHeight="1">
      <c r="A35" s="220" t="s">
        <v>15</v>
      </c>
      <c r="B35" s="215" t="s">
        <v>53</v>
      </c>
      <c r="C35" s="216">
        <v>33.799999999999997</v>
      </c>
      <c r="D35" s="217">
        <v>36.5</v>
      </c>
    </row>
    <row r="36" spans="1:5" ht="14.7" customHeight="1">
      <c r="A36" s="220" t="s">
        <v>78</v>
      </c>
      <c r="B36" s="215" t="s">
        <v>5</v>
      </c>
      <c r="C36" s="247">
        <v>3.5000000000000003E-2</v>
      </c>
      <c r="D36" s="248">
        <v>5.0700000000000002E-2</v>
      </c>
    </row>
    <row r="37" spans="1:5" ht="14.7" customHeight="1">
      <c r="A37" s="226" t="s">
        <v>51</v>
      </c>
      <c r="B37" s="215" t="s">
        <v>53</v>
      </c>
      <c r="C37" s="256">
        <v>4</v>
      </c>
      <c r="D37" s="217">
        <v>3.8</v>
      </c>
    </row>
    <row r="38" spans="1:5" ht="14.7" customHeight="1">
      <c r="A38" s="249" t="s">
        <v>429</v>
      </c>
      <c r="B38" s="215"/>
      <c r="C38" s="217"/>
      <c r="D38" s="217"/>
      <c r="E38" s="218"/>
    </row>
    <row r="39" spans="1:5" ht="14.7" customHeight="1">
      <c r="A39" s="46" t="s">
        <v>449</v>
      </c>
    </row>
  </sheetData>
  <mergeCells count="5">
    <mergeCell ref="A27:E27"/>
    <mergeCell ref="A4:F4"/>
    <mergeCell ref="A18:F18"/>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H45"/>
  <sheetViews>
    <sheetView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16384" width="9.109375" style="12"/>
  </cols>
  <sheetData>
    <row r="1" spans="1:8" ht="39.9" customHeight="1">
      <c r="A1" s="156" t="s">
        <v>86</v>
      </c>
      <c r="B1" s="204"/>
      <c r="C1" s="204"/>
      <c r="D1" s="156"/>
      <c r="E1" s="204"/>
      <c r="F1" s="204"/>
      <c r="H1" s="16"/>
    </row>
    <row r="2" spans="1:8" s="24" customFormat="1" ht="39.9" customHeight="1" thickBot="1">
      <c r="A2" s="606" t="s">
        <v>474</v>
      </c>
      <c r="B2" s="606"/>
      <c r="C2" s="606"/>
      <c r="D2" s="606"/>
      <c r="E2" s="606"/>
      <c r="F2" s="606"/>
    </row>
    <row r="3" spans="1:8" ht="14.7" customHeight="1">
      <c r="A3" s="11"/>
      <c r="B3" s="11"/>
      <c r="C3" s="11"/>
      <c r="D3" s="11"/>
      <c r="E3" s="11"/>
    </row>
    <row r="4" spans="1:8" ht="14.7" customHeight="1">
      <c r="A4" s="605" t="s">
        <v>375</v>
      </c>
      <c r="B4" s="605"/>
      <c r="C4" s="605"/>
      <c r="D4" s="605"/>
      <c r="E4" s="605"/>
      <c r="F4" s="605"/>
    </row>
    <row r="5" spans="1:8" s="33" customFormat="1" ht="13.8">
      <c r="A5" s="57"/>
      <c r="B5" s="57"/>
      <c r="C5" s="57" t="s">
        <v>408</v>
      </c>
      <c r="D5" s="57" t="s">
        <v>241</v>
      </c>
      <c r="E5" s="80" t="s">
        <v>23</v>
      </c>
      <c r="F5" s="80" t="s">
        <v>3</v>
      </c>
    </row>
    <row r="6" spans="1:8" ht="14.7" customHeight="1">
      <c r="A6" s="111" t="s">
        <v>48</v>
      </c>
      <c r="B6" s="71" t="s">
        <v>53</v>
      </c>
      <c r="C6" s="72">
        <v>184.3</v>
      </c>
      <c r="D6" s="73">
        <v>161.1</v>
      </c>
      <c r="E6" s="87">
        <v>23.2</v>
      </c>
      <c r="F6" s="88">
        <v>0.14399999999999999</v>
      </c>
    </row>
    <row r="7" spans="1:8" ht="14.7" customHeight="1">
      <c r="A7" s="111" t="s">
        <v>116</v>
      </c>
      <c r="B7" s="71" t="s">
        <v>53</v>
      </c>
      <c r="C7" s="72">
        <v>4.0999999999999996</v>
      </c>
      <c r="D7" s="73">
        <v>7.3</v>
      </c>
      <c r="E7" s="87">
        <v>-3.2</v>
      </c>
      <c r="F7" s="88">
        <v>-0.438</v>
      </c>
    </row>
    <row r="8" spans="1:8" ht="14.7" customHeight="1">
      <c r="A8" s="111" t="s">
        <v>214</v>
      </c>
      <c r="B8" s="71" t="s">
        <v>53</v>
      </c>
      <c r="C8" s="72">
        <v>4.0999999999999996</v>
      </c>
      <c r="D8" s="73">
        <v>-10.6</v>
      </c>
      <c r="E8" s="87">
        <v>14.7</v>
      </c>
      <c r="F8" s="88" t="s">
        <v>25</v>
      </c>
    </row>
    <row r="9" spans="1:8" ht="14.7" customHeight="1">
      <c r="A9" s="111" t="s">
        <v>117</v>
      </c>
      <c r="B9" s="71" t="s">
        <v>53</v>
      </c>
      <c r="C9" s="72">
        <v>3.6</v>
      </c>
      <c r="D9" s="73">
        <v>6.3</v>
      </c>
      <c r="E9" s="87">
        <v>-2.7</v>
      </c>
      <c r="F9" s="88">
        <v>-0.42899999999999999</v>
      </c>
    </row>
    <row r="10" spans="1:8" ht="14.7" customHeight="1">
      <c r="A10" s="111" t="s">
        <v>215</v>
      </c>
      <c r="B10" s="71" t="s">
        <v>53</v>
      </c>
      <c r="C10" s="72">
        <v>3.7</v>
      </c>
      <c r="D10" s="73">
        <v>-11.1</v>
      </c>
      <c r="E10" s="87">
        <v>14.8</v>
      </c>
      <c r="F10" s="88" t="s">
        <v>25</v>
      </c>
    </row>
    <row r="11" spans="1:8" ht="14.7" customHeight="1">
      <c r="A11" s="111" t="s">
        <v>119</v>
      </c>
      <c r="B11" s="71" t="s">
        <v>53</v>
      </c>
      <c r="C11" s="72">
        <v>0.3</v>
      </c>
      <c r="D11" s="73">
        <v>0.4</v>
      </c>
      <c r="E11" s="87">
        <v>-0.1</v>
      </c>
      <c r="F11" s="88">
        <v>-0.25</v>
      </c>
    </row>
    <row r="12" spans="1:8" ht="14.7" customHeight="1">
      <c r="A12" s="111" t="s">
        <v>120</v>
      </c>
      <c r="B12" s="71" t="s">
        <v>5</v>
      </c>
      <c r="C12" s="180">
        <v>2.1999999999999999E-2</v>
      </c>
      <c r="D12" s="181">
        <v>4.1000000000000002E-2</v>
      </c>
      <c r="E12" s="182" t="s">
        <v>25</v>
      </c>
      <c r="F12" s="88" t="s">
        <v>446</v>
      </c>
    </row>
    <row r="13" spans="1:8" s="33" customFormat="1" ht="13.8">
      <c r="A13" s="57"/>
      <c r="B13" s="57"/>
      <c r="C13" s="57" t="s">
        <v>425</v>
      </c>
      <c r="D13" s="57" t="s">
        <v>426</v>
      </c>
      <c r="E13" s="80" t="s">
        <v>23</v>
      </c>
      <c r="F13" s="80" t="s">
        <v>26</v>
      </c>
    </row>
    <row r="14" spans="1:8" ht="14.7" customHeight="1">
      <c r="A14" s="111" t="s">
        <v>49</v>
      </c>
      <c r="B14" s="71" t="s">
        <v>53</v>
      </c>
      <c r="C14" s="72">
        <v>6.3</v>
      </c>
      <c r="D14" s="73">
        <v>6.6</v>
      </c>
      <c r="E14" s="87">
        <v>-0.3</v>
      </c>
      <c r="F14" s="88">
        <v>-4.4999999999999998E-2</v>
      </c>
    </row>
    <row r="15" spans="1:8" ht="14.7" customHeight="1">
      <c r="A15" s="111" t="s">
        <v>118</v>
      </c>
      <c r="B15" s="71" t="s">
        <v>53</v>
      </c>
      <c r="C15" s="72">
        <v>61.4</v>
      </c>
      <c r="D15" s="73">
        <v>29.4</v>
      </c>
      <c r="E15" s="87">
        <v>32</v>
      </c>
      <c r="F15" s="88">
        <v>1.0880000000000001</v>
      </c>
    </row>
    <row r="16" spans="1:8" ht="14.7" customHeight="1">
      <c r="B16" s="11"/>
      <c r="C16" s="11"/>
      <c r="D16" s="11"/>
      <c r="E16" s="11"/>
    </row>
    <row r="17" spans="1:6" ht="14.7" customHeight="1">
      <c r="B17" s="11"/>
      <c r="C17" s="11"/>
      <c r="D17" s="11"/>
      <c r="E17" s="11"/>
    </row>
    <row r="18" spans="1:6" ht="14.7" customHeight="1">
      <c r="A18" s="605" t="s">
        <v>251</v>
      </c>
      <c r="B18" s="605"/>
      <c r="C18" s="605"/>
      <c r="D18" s="605"/>
      <c r="E18" s="605"/>
      <c r="F18" s="605"/>
    </row>
    <row r="19" spans="1:6" s="33" customFormat="1" ht="13.8">
      <c r="A19" s="57"/>
      <c r="B19" s="57"/>
      <c r="C19" s="57" t="s">
        <v>408</v>
      </c>
      <c r="D19" s="57" t="s">
        <v>241</v>
      </c>
      <c r="E19" s="80" t="s">
        <v>23</v>
      </c>
      <c r="F19" s="80" t="s">
        <v>26</v>
      </c>
    </row>
    <row r="20" spans="1:6" ht="14.7" customHeight="1">
      <c r="A20" s="157" t="s">
        <v>95</v>
      </c>
      <c r="B20" s="71"/>
      <c r="C20" s="72"/>
      <c r="D20" s="73"/>
      <c r="E20" s="87" t="s">
        <v>27</v>
      </c>
      <c r="F20" s="88"/>
    </row>
    <row r="21" spans="1:6" ht="14.7" customHeight="1">
      <c r="A21" s="220" t="s">
        <v>22</v>
      </c>
      <c r="B21" s="221" t="s">
        <v>11</v>
      </c>
      <c r="C21" s="257">
        <v>1.43</v>
      </c>
      <c r="D21" s="258">
        <v>1.34</v>
      </c>
      <c r="E21" s="259">
        <v>0.09</v>
      </c>
      <c r="F21" s="225">
        <v>7.0000000000000007E-2</v>
      </c>
    </row>
    <row r="22" spans="1:6" ht="14.7" customHeight="1">
      <c r="A22" s="220" t="s">
        <v>99</v>
      </c>
      <c r="B22" s="221" t="s">
        <v>11</v>
      </c>
      <c r="C22" s="257">
        <v>0.23</v>
      </c>
      <c r="D22" s="258">
        <v>0.23</v>
      </c>
      <c r="E22" s="259">
        <v>0</v>
      </c>
      <c r="F22" s="225">
        <v>-0.02</v>
      </c>
    </row>
    <row r="23" spans="1:6" ht="14.7" customHeight="1">
      <c r="A23" s="220" t="s">
        <v>100</v>
      </c>
      <c r="B23" s="221" t="s">
        <v>11</v>
      </c>
      <c r="C23" s="257">
        <v>0.02</v>
      </c>
      <c r="D23" s="258">
        <v>0.01</v>
      </c>
      <c r="E23" s="259">
        <v>0.02</v>
      </c>
      <c r="F23" s="225" t="s">
        <v>450</v>
      </c>
    </row>
    <row r="24" spans="1:6" ht="14.7" customHeight="1">
      <c r="A24" s="111" t="s">
        <v>101</v>
      </c>
      <c r="B24" s="215" t="s">
        <v>11</v>
      </c>
      <c r="C24" s="260">
        <v>1.68</v>
      </c>
      <c r="D24" s="261">
        <v>1.58</v>
      </c>
      <c r="E24" s="262">
        <v>0.11</v>
      </c>
      <c r="F24" s="219">
        <v>6.7000000000000004E-2</v>
      </c>
    </row>
    <row r="25" spans="1:6" ht="14.7" customHeight="1">
      <c r="A25" s="220" t="s">
        <v>102</v>
      </c>
      <c r="B25" s="221" t="s">
        <v>11</v>
      </c>
      <c r="C25" s="257">
        <v>0.77</v>
      </c>
      <c r="D25" s="258">
        <v>0.72</v>
      </c>
      <c r="E25" s="259">
        <v>0.06</v>
      </c>
      <c r="F25" s="225">
        <v>7.9000000000000001E-2</v>
      </c>
    </row>
    <row r="26" spans="1:6" ht="14.7" customHeight="1">
      <c r="A26" s="220" t="s">
        <v>103</v>
      </c>
      <c r="B26" s="221" t="s">
        <v>11</v>
      </c>
      <c r="C26" s="257">
        <v>0.91</v>
      </c>
      <c r="D26" s="258">
        <v>0.86</v>
      </c>
      <c r="E26" s="259">
        <v>0.05</v>
      </c>
      <c r="F26" s="225">
        <v>5.6000000000000001E-2</v>
      </c>
    </row>
    <row r="27" spans="1:6" ht="14.7" customHeight="1">
      <c r="A27" s="111" t="s">
        <v>454</v>
      </c>
      <c r="B27" s="221" t="s">
        <v>106</v>
      </c>
      <c r="C27" s="257">
        <v>1.56</v>
      </c>
      <c r="D27" s="258">
        <v>1.65</v>
      </c>
      <c r="E27" s="259">
        <v>-0.09</v>
      </c>
      <c r="F27" s="225">
        <v>-5.3999999999999999E-2</v>
      </c>
    </row>
    <row r="28" spans="1:6" ht="14.7" customHeight="1">
      <c r="A28" s="157" t="s">
        <v>98</v>
      </c>
      <c r="B28" s="263" t="s">
        <v>11</v>
      </c>
      <c r="C28" s="264">
        <v>5.6</v>
      </c>
      <c r="D28" s="265">
        <v>4.26</v>
      </c>
      <c r="E28" s="266">
        <v>1.34</v>
      </c>
      <c r="F28" s="267">
        <v>0.314</v>
      </c>
    </row>
    <row r="29" spans="1:6" ht="14.7" customHeight="1">
      <c r="A29" s="220" t="s">
        <v>22</v>
      </c>
      <c r="B29" s="221" t="s">
        <v>11</v>
      </c>
      <c r="C29" s="257">
        <v>2.39</v>
      </c>
      <c r="D29" s="258">
        <v>2.16</v>
      </c>
      <c r="E29" s="259">
        <v>0.22</v>
      </c>
      <c r="F29" s="225">
        <v>0.10299999999999999</v>
      </c>
    </row>
    <row r="30" spans="1:6" ht="14.7" customHeight="1">
      <c r="A30" s="220" t="s">
        <v>99</v>
      </c>
      <c r="B30" s="221" t="s">
        <v>11</v>
      </c>
      <c r="C30" s="257">
        <v>0.09</v>
      </c>
      <c r="D30" s="258">
        <v>0.05</v>
      </c>
      <c r="E30" s="259">
        <v>0.04</v>
      </c>
      <c r="F30" s="225">
        <v>0.78</v>
      </c>
    </row>
    <row r="31" spans="1:6" ht="14.7" customHeight="1">
      <c r="A31" s="220" t="s">
        <v>104</v>
      </c>
      <c r="B31" s="221" t="s">
        <v>11</v>
      </c>
      <c r="C31" s="257">
        <v>0.72</v>
      </c>
      <c r="D31" s="258">
        <v>1.05</v>
      </c>
      <c r="E31" s="259">
        <v>-0.33</v>
      </c>
      <c r="F31" s="225">
        <v>-0.315</v>
      </c>
    </row>
    <row r="32" spans="1:6" ht="14.7" customHeight="1">
      <c r="A32" s="111" t="s">
        <v>101</v>
      </c>
      <c r="B32" s="215" t="s">
        <v>11</v>
      </c>
      <c r="C32" s="260">
        <v>3.19</v>
      </c>
      <c r="D32" s="261">
        <v>3.26</v>
      </c>
      <c r="E32" s="262">
        <v>-7.0000000000000007E-2</v>
      </c>
      <c r="F32" s="219">
        <v>-2.1000000000000001E-2</v>
      </c>
    </row>
    <row r="33" spans="1:6" ht="14.7" customHeight="1">
      <c r="A33" s="220" t="s">
        <v>102</v>
      </c>
      <c r="B33" s="221" t="s">
        <v>11</v>
      </c>
      <c r="C33" s="257">
        <v>1.26</v>
      </c>
      <c r="D33" s="258">
        <v>0.92</v>
      </c>
      <c r="E33" s="259">
        <v>0.34</v>
      </c>
      <c r="F33" s="225">
        <v>0.36899999999999999</v>
      </c>
    </row>
    <row r="34" spans="1:6" ht="14.7" customHeight="1">
      <c r="A34" s="220" t="s">
        <v>103</v>
      </c>
      <c r="B34" s="221" t="s">
        <v>11</v>
      </c>
      <c r="C34" s="257">
        <v>1.93</v>
      </c>
      <c r="D34" s="258">
        <v>2.34</v>
      </c>
      <c r="E34" s="259">
        <v>-0.41</v>
      </c>
      <c r="F34" s="225">
        <v>-0.17399999999999999</v>
      </c>
    </row>
    <row r="35" spans="1:6" ht="14.7" customHeight="1">
      <c r="A35" s="111" t="s">
        <v>105</v>
      </c>
      <c r="B35" s="215" t="s">
        <v>11</v>
      </c>
      <c r="C35" s="260">
        <v>2.4</v>
      </c>
      <c r="D35" s="261">
        <v>1</v>
      </c>
      <c r="E35" s="262">
        <v>1.4</v>
      </c>
      <c r="F35" s="219">
        <v>1.407</v>
      </c>
    </row>
    <row r="36" spans="1:6" ht="14.7" customHeight="1">
      <c r="A36" s="111" t="s">
        <v>33</v>
      </c>
      <c r="B36" s="215" t="s">
        <v>106</v>
      </c>
      <c r="C36" s="268">
        <v>0.61</v>
      </c>
      <c r="D36" s="269">
        <v>0.6</v>
      </c>
      <c r="E36" s="270">
        <v>0.01</v>
      </c>
      <c r="F36" s="271">
        <v>1.2E-2</v>
      </c>
    </row>
    <row r="37" spans="1:6" ht="14.7" customHeight="1">
      <c r="A37" s="249"/>
      <c r="B37" s="272"/>
    </row>
    <row r="38" spans="1:6" ht="14.7" customHeight="1">
      <c r="A38" s="11"/>
      <c r="B38" s="40"/>
      <c r="C38" s="11"/>
      <c r="D38" s="11"/>
      <c r="E38" s="11"/>
    </row>
    <row r="39" spans="1:6" ht="14.7" customHeight="1">
      <c r="A39" s="605" t="s">
        <v>451</v>
      </c>
      <c r="B39" s="605"/>
      <c r="C39" s="605"/>
      <c r="D39" s="605"/>
      <c r="E39" s="605"/>
    </row>
    <row r="40" spans="1:6" ht="14.7" customHeight="1">
      <c r="A40" s="57"/>
      <c r="B40" s="59"/>
      <c r="C40" s="59" t="s">
        <v>452</v>
      </c>
      <c r="D40" s="59" t="s">
        <v>107</v>
      </c>
    </row>
    <row r="41" spans="1:6" ht="14.7" customHeight="1">
      <c r="A41" s="157" t="s">
        <v>440</v>
      </c>
      <c r="B41" s="157" t="s">
        <v>5</v>
      </c>
      <c r="C41" s="374">
        <v>0.61</v>
      </c>
      <c r="D41" s="375">
        <v>0.29199999999999998</v>
      </c>
    </row>
    <row r="42" spans="1:6" ht="14.7" customHeight="1">
      <c r="A42" s="46" t="s">
        <v>429</v>
      </c>
    </row>
    <row r="43" spans="1:6" ht="14.7" customHeight="1">
      <c r="A43" s="614" t="s">
        <v>453</v>
      </c>
      <c r="B43" s="614"/>
      <c r="C43" s="614"/>
      <c r="D43" s="614"/>
    </row>
    <row r="44" spans="1:6" ht="14.7" customHeight="1">
      <c r="A44" s="608"/>
      <c r="B44" s="608"/>
      <c r="C44" s="608"/>
      <c r="D44" s="608"/>
    </row>
    <row r="45" spans="1:6" ht="14.7" customHeight="1">
      <c r="A45" s="608"/>
      <c r="B45" s="608"/>
      <c r="C45" s="608"/>
      <c r="D45" s="608"/>
    </row>
  </sheetData>
  <mergeCells count="6">
    <mergeCell ref="A43:D45"/>
    <mergeCell ref="A2:C2"/>
    <mergeCell ref="D2:F2"/>
    <mergeCell ref="A4:F4"/>
    <mergeCell ref="A18:F18"/>
    <mergeCell ref="A39:E3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6" ma:contentTypeDescription="Create a new document." ma:contentTypeScope="" ma:versionID="e701faa94c6f230638b32c01293465b4">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80acf24367a4d45f4733505b8dd1b867"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D5CBE-9BE5-4580-9447-899764AD6B57}">
  <ds:schemaRefs>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10e8a9e1-f086-4ed8-a37f-cd2758a8c135"/>
    <ds:schemaRef ds:uri="http://schemas.microsoft.com/office/infopath/2007/PartnerControls"/>
    <ds:schemaRef ds:uri="http://schemas.openxmlformats.org/package/2006/metadata/core-properties"/>
    <ds:schemaRef ds:uri="6f62a54d-034d-4ab1-aa37-d90b77cedeba"/>
    <ds:schemaRef ds:uri="http://purl.org/dc/elements/1.1/"/>
  </ds:schemaRefs>
</ds:datastoreItem>
</file>

<file path=customXml/itemProps2.xml><?xml version="1.0" encoding="utf-8"?>
<ds:datastoreItem xmlns:ds="http://schemas.openxmlformats.org/officeDocument/2006/customXml" ds:itemID="{2BF00F10-636E-470A-B419-0DA85188A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Verslo aplinka</vt:lpstr>
      <vt:lpstr>Pastaba</vt:lpstr>
      <vt:lpstr>'Finansiniai rodikliai'!_Toc64472300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Robertas Tumilo</dc:creator>
  <cp:lastModifiedBy>Paulina Žakelytė</cp:lastModifiedBy>
  <dcterms:created xsi:type="dcterms:W3CDTF">2020-12-21T07:11:20Z</dcterms:created>
  <dcterms:modified xsi:type="dcterms:W3CDTF">2021-05-31T07:29:13Z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iteId">
    <vt:lpwstr>ea88e983-d65a-47b3-adb4-3e1c6d2110d2</vt:lpwstr>
  </property>
  <property fmtid="{D5CDD505-2E9C-101B-9397-08002B2CF9AE}" pid="13" name="MSIP_Label_190751af-2442-49a7-b7b9-9f0bcce858c9_Owner">
    <vt:lpwstr>Aine.Riffel@ignitis.lt</vt:lpwstr>
  </property>
  <property fmtid="{D5CDD505-2E9C-101B-9397-08002B2CF9AE}" pid="14" name="MSIP_Label_190751af-2442-49a7-b7b9-9f0bcce858c9_SetDate">
    <vt:lpwstr>2021-01-03T18:17:25.5022652Z</vt:lpwstr>
  </property>
  <property fmtid="{D5CDD505-2E9C-101B-9397-08002B2CF9AE}" pid="15" name="MSIP_Label_190751af-2442-49a7-b7b9-9f0bcce858c9_Name">
    <vt:lpwstr>Be žymos</vt:lpwstr>
  </property>
  <property fmtid="{D5CDD505-2E9C-101B-9397-08002B2CF9AE}" pid="16" name="MSIP_Label_190751af-2442-49a7-b7b9-9f0bcce858c9_Application">
    <vt:lpwstr>Microsoft Azure Information Protection</vt:lpwstr>
  </property>
  <property fmtid="{D5CDD505-2E9C-101B-9397-08002B2CF9AE}" pid="17" name="MSIP_Label_190751af-2442-49a7-b7b9-9f0bcce858c9_ActionId">
    <vt:lpwstr>07970f6f-39e5-4759-911a-859656f3c74d</vt:lpwstr>
  </property>
  <property fmtid="{D5CDD505-2E9C-101B-9397-08002B2CF9AE}" pid="18" name="MSIP_Label_190751af-2442-49a7-b7b9-9f0bcce858c9_Parent">
    <vt:lpwstr>320c693d-44b7-4e16-b3dd-4fcd87401cf5</vt:lpwstr>
  </property>
  <property fmtid="{D5CDD505-2E9C-101B-9397-08002B2CF9AE}" pid="19" name="MSIP_Label_190751af-2442-49a7-b7b9-9f0bcce858c9_Extended_MSFT_Method">
    <vt:lpwstr>Manual</vt:lpwstr>
  </property>
  <property fmtid="{D5CDD505-2E9C-101B-9397-08002B2CF9AE}" pid="20" name="Sensitivity">
    <vt:lpwstr>Viešo naudojimo Be žymos</vt:lpwstr>
  </property>
</Properties>
</file>